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wnh\OneDrive\Code's Desktop\"/>
    </mc:Choice>
  </mc:AlternateContent>
  <xr:revisionPtr revIDLastSave="0" documentId="13_ncr:1_{A05042C3-82A1-46F3-B20C-CA93BF657862}" xr6:coauthVersionLast="47" xr6:coauthVersionMax="47" xr10:uidLastSave="{00000000-0000-0000-0000-000000000000}"/>
  <bookViews>
    <workbookView xWindow="-120" yWindow="-120" windowWidth="29040" windowHeight="15720" activeTab="7" xr2:uid="{26250D90-65FA-412A-818E-788DE1028C3B}"/>
  </bookViews>
  <sheets>
    <sheet name="Fire Department" sheetId="1" r:id="rId1"/>
    <sheet name="Sidewalk" sheetId="4" r:id="rId2"/>
    <sheet name="Garbage " sheetId="6" r:id="rId3"/>
    <sheet name="Lighting" sheetId="7" r:id="rId4"/>
    <sheet name="Water One" sheetId="8" r:id="rId5"/>
    <sheet name="Water Three" sheetId="9" r:id="rId6"/>
    <sheet name="Highway" sheetId="10" r:id="rId7"/>
    <sheet name="General Fund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1" l="1"/>
  <c r="I139" i="11"/>
  <c r="H136" i="11"/>
  <c r="I136" i="11"/>
  <c r="I311" i="11"/>
  <c r="I15" i="11"/>
  <c r="H14" i="9"/>
  <c r="H13" i="9"/>
  <c r="H9" i="8"/>
  <c r="H362" i="11" l="1"/>
  <c r="H358" i="11"/>
  <c r="H352" i="11"/>
  <c r="H354" i="11" s="1"/>
  <c r="F362" i="11"/>
  <c r="F358" i="11"/>
  <c r="D380" i="11"/>
  <c r="E380" i="11"/>
  <c r="F380" i="11"/>
  <c r="G380" i="11"/>
  <c r="H380" i="11"/>
  <c r="I380" i="11"/>
  <c r="C380" i="11"/>
  <c r="D369" i="11"/>
  <c r="E369" i="11"/>
  <c r="F369" i="11"/>
  <c r="G369" i="11"/>
  <c r="H369" i="11"/>
  <c r="I369" i="11"/>
  <c r="C369" i="11"/>
  <c r="D354" i="11"/>
  <c r="E354" i="11"/>
  <c r="F354" i="11"/>
  <c r="G354" i="11"/>
  <c r="I354" i="11"/>
  <c r="C354" i="11"/>
  <c r="I364" i="11"/>
  <c r="G364" i="11"/>
  <c r="E364" i="11"/>
  <c r="D364" i="11"/>
  <c r="C364" i="11"/>
  <c r="D350" i="11"/>
  <c r="E350" i="11"/>
  <c r="F350" i="11"/>
  <c r="G350" i="11"/>
  <c r="H350" i="11"/>
  <c r="I350" i="11"/>
  <c r="C350" i="11"/>
  <c r="D347" i="11"/>
  <c r="E347" i="11"/>
  <c r="F347" i="11"/>
  <c r="G347" i="11"/>
  <c r="H347" i="11"/>
  <c r="I347" i="11"/>
  <c r="C347" i="11"/>
  <c r="D344" i="11"/>
  <c r="E344" i="11"/>
  <c r="F344" i="11"/>
  <c r="G344" i="11"/>
  <c r="H344" i="11"/>
  <c r="I344" i="11"/>
  <c r="C344" i="11"/>
  <c r="D341" i="11"/>
  <c r="E341" i="11"/>
  <c r="F341" i="11"/>
  <c r="G341" i="11"/>
  <c r="H341" i="11"/>
  <c r="I341" i="11"/>
  <c r="C341" i="11"/>
  <c r="D331" i="11"/>
  <c r="E331" i="11"/>
  <c r="F331" i="11"/>
  <c r="G331" i="11"/>
  <c r="H331" i="11"/>
  <c r="I331" i="11"/>
  <c r="C331" i="11"/>
  <c r="D328" i="11"/>
  <c r="E328" i="11"/>
  <c r="F328" i="11"/>
  <c r="G328" i="11"/>
  <c r="H328" i="11"/>
  <c r="I328" i="11"/>
  <c r="C328" i="11"/>
  <c r="D324" i="11"/>
  <c r="E324" i="11"/>
  <c r="F324" i="11"/>
  <c r="G324" i="11"/>
  <c r="H324" i="11"/>
  <c r="I324" i="11"/>
  <c r="C324" i="11"/>
  <c r="D321" i="11"/>
  <c r="E321" i="11"/>
  <c r="F321" i="11"/>
  <c r="G321" i="11"/>
  <c r="H321" i="11"/>
  <c r="I321" i="11"/>
  <c r="C321" i="11"/>
  <c r="H288" i="11"/>
  <c r="H287" i="11"/>
  <c r="H283" i="11"/>
  <c r="H285" i="11" s="1"/>
  <c r="H290" i="11"/>
  <c r="F290" i="11"/>
  <c r="F287" i="11"/>
  <c r="D318" i="11"/>
  <c r="E318" i="11"/>
  <c r="F318" i="11"/>
  <c r="G318" i="11"/>
  <c r="H318" i="11"/>
  <c r="I318" i="11"/>
  <c r="C318" i="11"/>
  <c r="D314" i="11"/>
  <c r="E314" i="11"/>
  <c r="F314" i="11"/>
  <c r="G314" i="11"/>
  <c r="H314" i="11"/>
  <c r="I314" i="11"/>
  <c r="C314" i="11"/>
  <c r="D311" i="11"/>
  <c r="E311" i="11"/>
  <c r="F311" i="11"/>
  <c r="G311" i="11"/>
  <c r="H311" i="11"/>
  <c r="C311" i="11"/>
  <c r="D308" i="11"/>
  <c r="E308" i="11"/>
  <c r="F308" i="11"/>
  <c r="G308" i="11"/>
  <c r="H308" i="11"/>
  <c r="I308" i="11"/>
  <c r="C308" i="11"/>
  <c r="D305" i="11"/>
  <c r="E305" i="11"/>
  <c r="F305" i="11"/>
  <c r="G305" i="11"/>
  <c r="H305" i="11"/>
  <c r="I305" i="11"/>
  <c r="C305" i="11"/>
  <c r="D295" i="11"/>
  <c r="E295" i="11"/>
  <c r="F295" i="11"/>
  <c r="G295" i="11"/>
  <c r="H295" i="11"/>
  <c r="I295" i="11"/>
  <c r="C295" i="11"/>
  <c r="D292" i="11"/>
  <c r="E292" i="11"/>
  <c r="G292" i="11"/>
  <c r="I292" i="11"/>
  <c r="D285" i="11"/>
  <c r="E285" i="11"/>
  <c r="F285" i="11"/>
  <c r="G285" i="11"/>
  <c r="I285" i="11"/>
  <c r="C292" i="11"/>
  <c r="C285" i="11"/>
  <c r="H251" i="11"/>
  <c r="H252" i="11" s="1"/>
  <c r="H247" i="11"/>
  <c r="H245" i="11"/>
  <c r="H244" i="11"/>
  <c r="F280" i="11"/>
  <c r="F281" i="11" s="1"/>
  <c r="F266" i="11"/>
  <c r="F267" i="11" s="1"/>
  <c r="F254" i="11"/>
  <c r="F255" i="11" s="1"/>
  <c r="F251" i="11"/>
  <c r="F252" i="11" s="1"/>
  <c r="F247" i="11"/>
  <c r="F248" i="11" s="1"/>
  <c r="D281" i="11"/>
  <c r="E281" i="11"/>
  <c r="G281" i="11"/>
  <c r="H281" i="11"/>
  <c r="I281" i="11"/>
  <c r="C281" i="11"/>
  <c r="D277" i="11"/>
  <c r="E277" i="11"/>
  <c r="F277" i="11"/>
  <c r="G277" i="11"/>
  <c r="H277" i="11"/>
  <c r="I277" i="11"/>
  <c r="C277" i="11"/>
  <c r="D273" i="11"/>
  <c r="E273" i="11"/>
  <c r="F273" i="11"/>
  <c r="G273" i="11"/>
  <c r="H273" i="11"/>
  <c r="I273" i="11"/>
  <c r="C273" i="11"/>
  <c r="D270" i="11"/>
  <c r="E270" i="11"/>
  <c r="F270" i="11"/>
  <c r="G270" i="11"/>
  <c r="H270" i="11"/>
  <c r="I270" i="11"/>
  <c r="C270" i="11"/>
  <c r="D267" i="11"/>
  <c r="E267" i="11"/>
  <c r="G267" i="11"/>
  <c r="H267" i="11"/>
  <c r="I267" i="11"/>
  <c r="C267" i="11"/>
  <c r="D258" i="11"/>
  <c r="E258" i="11"/>
  <c r="F258" i="11"/>
  <c r="G258" i="11"/>
  <c r="H258" i="11"/>
  <c r="I258" i="11"/>
  <c r="C258" i="11"/>
  <c r="D255" i="11"/>
  <c r="E255" i="11"/>
  <c r="G255" i="11"/>
  <c r="H255" i="11"/>
  <c r="I255" i="11"/>
  <c r="C255" i="11"/>
  <c r="D252" i="11"/>
  <c r="E252" i="11"/>
  <c r="G252" i="11"/>
  <c r="I252" i="11"/>
  <c r="C252" i="11"/>
  <c r="D248" i="11"/>
  <c r="E248" i="11"/>
  <c r="G248" i="11"/>
  <c r="I248" i="11"/>
  <c r="C248" i="11"/>
  <c r="H216" i="11"/>
  <c r="H218" i="11" s="1"/>
  <c r="F216" i="11"/>
  <c r="F218" i="11" s="1"/>
  <c r="D202" i="11"/>
  <c r="E202" i="11"/>
  <c r="F202" i="11"/>
  <c r="G202" i="11"/>
  <c r="H202" i="11"/>
  <c r="I202" i="11"/>
  <c r="D238" i="11"/>
  <c r="E238" i="11"/>
  <c r="F238" i="11"/>
  <c r="G238" i="11"/>
  <c r="H238" i="11"/>
  <c r="I238" i="11"/>
  <c r="D235" i="11"/>
  <c r="E235" i="11"/>
  <c r="F235" i="11"/>
  <c r="G235" i="11"/>
  <c r="H235" i="11"/>
  <c r="I235" i="11"/>
  <c r="D241" i="11"/>
  <c r="E241" i="11"/>
  <c r="F241" i="11"/>
  <c r="G241" i="11"/>
  <c r="H241" i="11"/>
  <c r="I241" i="11"/>
  <c r="C241" i="11"/>
  <c r="C238" i="11"/>
  <c r="C235" i="11"/>
  <c r="D232" i="11"/>
  <c r="E232" i="11"/>
  <c r="F232" i="11"/>
  <c r="G232" i="11"/>
  <c r="H232" i="11"/>
  <c r="I232" i="11"/>
  <c r="C232" i="11"/>
  <c r="D218" i="11"/>
  <c r="E218" i="11"/>
  <c r="G218" i="11"/>
  <c r="I218" i="11"/>
  <c r="C218" i="11"/>
  <c r="D213" i="11"/>
  <c r="E213" i="11"/>
  <c r="F213" i="11"/>
  <c r="G213" i="11"/>
  <c r="H213" i="11"/>
  <c r="I213" i="11"/>
  <c r="C213" i="11"/>
  <c r="D210" i="11"/>
  <c r="E210" i="11"/>
  <c r="F210" i="11"/>
  <c r="G210" i="11"/>
  <c r="H210" i="11"/>
  <c r="I210" i="11"/>
  <c r="C210" i="11"/>
  <c r="D206" i="11"/>
  <c r="E206" i="11"/>
  <c r="F206" i="11"/>
  <c r="G206" i="11"/>
  <c r="H206" i="11"/>
  <c r="I206" i="11"/>
  <c r="C206" i="11"/>
  <c r="C202" i="11"/>
  <c r="H177" i="11"/>
  <c r="H164" i="11"/>
  <c r="H163" i="11"/>
  <c r="H179" i="11"/>
  <c r="H165" i="11"/>
  <c r="F183" i="11"/>
  <c r="F184" i="11" s="1"/>
  <c r="F179" i="11"/>
  <c r="F180" i="11" s="1"/>
  <c r="F160" i="11"/>
  <c r="F161" i="11" s="1"/>
  <c r="D199" i="11"/>
  <c r="E199" i="11"/>
  <c r="F199" i="11"/>
  <c r="G199" i="11"/>
  <c r="H199" i="11"/>
  <c r="I199" i="11"/>
  <c r="D196" i="11"/>
  <c r="E196" i="11"/>
  <c r="F196" i="11"/>
  <c r="G196" i="11"/>
  <c r="H196" i="11"/>
  <c r="I196" i="11"/>
  <c r="D193" i="11"/>
  <c r="E193" i="11"/>
  <c r="F193" i="11"/>
  <c r="G193" i="11"/>
  <c r="H193" i="11"/>
  <c r="I193" i="11"/>
  <c r="D184" i="11"/>
  <c r="E184" i="11"/>
  <c r="G184" i="11"/>
  <c r="H184" i="11"/>
  <c r="I184" i="11"/>
  <c r="D180" i="11"/>
  <c r="E180" i="11"/>
  <c r="G180" i="11"/>
  <c r="I180" i="11"/>
  <c r="D175" i="11"/>
  <c r="E175" i="11"/>
  <c r="F175" i="11"/>
  <c r="G175" i="11"/>
  <c r="H175" i="11"/>
  <c r="I175" i="11"/>
  <c r="D172" i="11"/>
  <c r="E172" i="11"/>
  <c r="F172" i="11"/>
  <c r="G172" i="11"/>
  <c r="H172" i="11"/>
  <c r="I172" i="11"/>
  <c r="D169" i="11"/>
  <c r="E169" i="11"/>
  <c r="F169" i="11"/>
  <c r="G169" i="11"/>
  <c r="H169" i="11"/>
  <c r="I169" i="11"/>
  <c r="D166" i="11"/>
  <c r="E166" i="11"/>
  <c r="F166" i="11"/>
  <c r="G166" i="11"/>
  <c r="I166" i="11"/>
  <c r="D161" i="11"/>
  <c r="E161" i="11"/>
  <c r="G161" i="11"/>
  <c r="H161" i="11"/>
  <c r="I161" i="11"/>
  <c r="C199" i="11"/>
  <c r="C196" i="11"/>
  <c r="C193" i="11"/>
  <c r="C184" i="11"/>
  <c r="C180" i="11"/>
  <c r="C175" i="11"/>
  <c r="C172" i="11"/>
  <c r="C169" i="11"/>
  <c r="C166" i="11"/>
  <c r="C161" i="11"/>
  <c r="H156" i="11"/>
  <c r="H155" i="11"/>
  <c r="H138" i="11"/>
  <c r="H139" i="11" s="1"/>
  <c r="H128" i="11"/>
  <c r="H130" i="11" s="1"/>
  <c r="H125" i="11"/>
  <c r="H124" i="11"/>
  <c r="H123" i="11"/>
  <c r="H119" i="11"/>
  <c r="F141" i="11"/>
  <c r="F142" i="11" s="1"/>
  <c r="F129" i="11"/>
  <c r="F130" i="11" s="1"/>
  <c r="D130" i="11"/>
  <c r="D158" i="11"/>
  <c r="E158" i="11"/>
  <c r="F158" i="11"/>
  <c r="G158" i="11"/>
  <c r="I158" i="11"/>
  <c r="C158" i="11"/>
  <c r="D145" i="11"/>
  <c r="E145" i="11"/>
  <c r="F145" i="11"/>
  <c r="G145" i="11"/>
  <c r="H145" i="11"/>
  <c r="I145" i="11"/>
  <c r="C145" i="11"/>
  <c r="D142" i="11"/>
  <c r="E142" i="11"/>
  <c r="G142" i="11"/>
  <c r="H142" i="11"/>
  <c r="I142" i="11"/>
  <c r="C142" i="11"/>
  <c r="D139" i="11"/>
  <c r="E139" i="11"/>
  <c r="F139" i="11"/>
  <c r="G139" i="11"/>
  <c r="C139" i="11"/>
  <c r="D136" i="11"/>
  <c r="E136" i="11"/>
  <c r="F136" i="11"/>
  <c r="G136" i="11"/>
  <c r="C136" i="11"/>
  <c r="D133" i="11"/>
  <c r="E133" i="11"/>
  <c r="F133" i="11"/>
  <c r="G133" i="11"/>
  <c r="H133" i="11"/>
  <c r="I133" i="11"/>
  <c r="C133" i="11"/>
  <c r="E130" i="11"/>
  <c r="G130" i="11"/>
  <c r="I130" i="11"/>
  <c r="C130" i="11"/>
  <c r="F125" i="11"/>
  <c r="F124" i="11"/>
  <c r="F123" i="11"/>
  <c r="F120" i="11"/>
  <c r="F119" i="11"/>
  <c r="G15" i="11"/>
  <c r="F15" i="11"/>
  <c r="E15" i="11"/>
  <c r="D15" i="11"/>
  <c r="C15" i="11"/>
  <c r="F292" i="11" l="1"/>
  <c r="F315" i="11" s="1"/>
  <c r="D381" i="11"/>
  <c r="F364" i="11"/>
  <c r="H364" i="11"/>
  <c r="D355" i="11"/>
  <c r="C381" i="11"/>
  <c r="H381" i="11"/>
  <c r="G381" i="11"/>
  <c r="F355" i="11"/>
  <c r="C355" i="11"/>
  <c r="E381" i="11"/>
  <c r="E355" i="11"/>
  <c r="G355" i="11"/>
  <c r="H355" i="11"/>
  <c r="H248" i="11"/>
  <c r="H259" i="11" s="1"/>
  <c r="I381" i="11"/>
  <c r="I355" i="11"/>
  <c r="I274" i="11"/>
  <c r="I259" i="11"/>
  <c r="F381" i="11"/>
  <c r="I214" i="11"/>
  <c r="H214" i="11"/>
  <c r="I242" i="11"/>
  <c r="H180" i="11"/>
  <c r="F214" i="11"/>
  <c r="G274" i="11"/>
  <c r="I315" i="11"/>
  <c r="H166" i="11"/>
  <c r="E274" i="11"/>
  <c r="C242" i="11"/>
  <c r="D214" i="11"/>
  <c r="H158" i="11"/>
  <c r="H274" i="11"/>
  <c r="H292" i="11"/>
  <c r="H315" i="11"/>
  <c r="G315" i="11"/>
  <c r="E315" i="11"/>
  <c r="D315" i="11"/>
  <c r="C315" i="11"/>
  <c r="F274" i="11"/>
  <c r="F259" i="11"/>
  <c r="G259" i="11"/>
  <c r="E259" i="11"/>
  <c r="D274" i="11"/>
  <c r="D259" i="11"/>
  <c r="C274" i="11"/>
  <c r="C259" i="11"/>
  <c r="H242" i="11"/>
  <c r="F242" i="11"/>
  <c r="G242" i="11"/>
  <c r="G214" i="11"/>
  <c r="E242" i="11"/>
  <c r="E214" i="11"/>
  <c r="D242" i="11"/>
  <c r="C214" i="11"/>
  <c r="F45" i="11"/>
  <c r="F47" i="11" s="1"/>
  <c r="F23" i="11"/>
  <c r="D83" i="11"/>
  <c r="E83" i="11"/>
  <c r="F83" i="11"/>
  <c r="G83" i="11"/>
  <c r="H83" i="11"/>
  <c r="I83" i="11"/>
  <c r="C83" i="11"/>
  <c r="D72" i="11"/>
  <c r="E72" i="11"/>
  <c r="F72" i="11"/>
  <c r="G72" i="11"/>
  <c r="H72" i="11"/>
  <c r="I72" i="11"/>
  <c r="C72" i="11"/>
  <c r="D86" i="11"/>
  <c r="E86" i="11"/>
  <c r="F86" i="11"/>
  <c r="G86" i="11"/>
  <c r="H86" i="11"/>
  <c r="I86" i="11"/>
  <c r="C86" i="11"/>
  <c r="D61" i="11"/>
  <c r="E61" i="11"/>
  <c r="F61" i="11"/>
  <c r="G61" i="11"/>
  <c r="H61" i="11"/>
  <c r="I61" i="11"/>
  <c r="C61" i="11"/>
  <c r="D54" i="11"/>
  <c r="E54" i="11"/>
  <c r="F54" i="11"/>
  <c r="G54" i="11"/>
  <c r="H54" i="11"/>
  <c r="I54" i="11"/>
  <c r="C54" i="11"/>
  <c r="D47" i="11"/>
  <c r="E47" i="11"/>
  <c r="G47" i="11"/>
  <c r="H47" i="11"/>
  <c r="C47" i="11"/>
  <c r="D37" i="11"/>
  <c r="E37" i="11"/>
  <c r="F37" i="11"/>
  <c r="G37" i="11"/>
  <c r="H37" i="11"/>
  <c r="I37" i="11"/>
  <c r="C37" i="11"/>
  <c r="D33" i="11"/>
  <c r="E33" i="11"/>
  <c r="F33" i="11"/>
  <c r="G33" i="11"/>
  <c r="H33" i="11"/>
  <c r="I33" i="11"/>
  <c r="C33" i="11"/>
  <c r="H72" i="10" l="1"/>
  <c r="F60" i="10" l="1"/>
  <c r="F56" i="10"/>
  <c r="F57" i="10" s="1"/>
  <c r="H68" i="10"/>
  <c r="H74" i="10" s="1"/>
  <c r="H53" i="10"/>
  <c r="H46" i="10"/>
  <c r="H63" i="10"/>
  <c r="H64" i="10" s="1"/>
  <c r="H60" i="10"/>
  <c r="H59" i="10"/>
  <c r="H61" i="10" s="1"/>
  <c r="H56" i="10"/>
  <c r="H51" i="10"/>
  <c r="H47" i="10"/>
  <c r="D88" i="10"/>
  <c r="D89" i="10" s="1"/>
  <c r="E88" i="10"/>
  <c r="E89" i="10" s="1"/>
  <c r="F88" i="10"/>
  <c r="F89" i="10" s="1"/>
  <c r="G88" i="10"/>
  <c r="G89" i="10" s="1"/>
  <c r="H88" i="10"/>
  <c r="H89" i="10" s="1"/>
  <c r="I88" i="10"/>
  <c r="I89" i="10" s="1"/>
  <c r="C88" i="10"/>
  <c r="C89" i="10" s="1"/>
  <c r="C74" i="10"/>
  <c r="D64" i="10"/>
  <c r="E64" i="10"/>
  <c r="F64" i="10"/>
  <c r="G64" i="10"/>
  <c r="I64" i="10"/>
  <c r="C64" i="10"/>
  <c r="D61" i="10"/>
  <c r="E61" i="10"/>
  <c r="F61" i="10"/>
  <c r="G61" i="10"/>
  <c r="I61" i="10"/>
  <c r="C61" i="10"/>
  <c r="D57" i="10"/>
  <c r="E57" i="10"/>
  <c r="G57" i="10"/>
  <c r="I57" i="10"/>
  <c r="C57" i="10"/>
  <c r="D51" i="10"/>
  <c r="E51" i="10"/>
  <c r="F51" i="10"/>
  <c r="G51" i="10"/>
  <c r="I51" i="10"/>
  <c r="C51" i="10"/>
  <c r="C48" i="10"/>
  <c r="D29" i="10"/>
  <c r="E29" i="10"/>
  <c r="F29" i="10"/>
  <c r="G29" i="10"/>
  <c r="H29" i="10"/>
  <c r="I29" i="10"/>
  <c r="D32" i="10"/>
  <c r="E32" i="10"/>
  <c r="F32" i="10"/>
  <c r="G32" i="10"/>
  <c r="H32" i="10"/>
  <c r="I32" i="10"/>
  <c r="C32" i="10"/>
  <c r="C29" i="10"/>
  <c r="D25" i="10"/>
  <c r="E25" i="10"/>
  <c r="F25" i="10"/>
  <c r="G25" i="10"/>
  <c r="H25" i="10"/>
  <c r="I25" i="10"/>
  <c r="C25" i="10"/>
  <c r="D20" i="10"/>
  <c r="E20" i="10"/>
  <c r="F20" i="10"/>
  <c r="G20" i="10"/>
  <c r="H20" i="10"/>
  <c r="I20" i="10"/>
  <c r="C20" i="10"/>
  <c r="D15" i="10"/>
  <c r="E15" i="10"/>
  <c r="F15" i="10"/>
  <c r="G15" i="10"/>
  <c r="H15" i="10"/>
  <c r="I15" i="10"/>
  <c r="C15" i="10"/>
  <c r="D28" i="11"/>
  <c r="E28" i="11"/>
  <c r="F28" i="11"/>
  <c r="G28" i="11"/>
  <c r="H28" i="11"/>
  <c r="I28" i="11"/>
  <c r="C28" i="11"/>
  <c r="D19" i="11"/>
  <c r="E19" i="11"/>
  <c r="F19" i="11"/>
  <c r="G19" i="11"/>
  <c r="H19" i="11"/>
  <c r="I19" i="11"/>
  <c r="C19" i="11"/>
  <c r="H15" i="11"/>
  <c r="I126" i="11"/>
  <c r="H126" i="11"/>
  <c r="G126" i="11"/>
  <c r="F126" i="11"/>
  <c r="E126" i="11"/>
  <c r="D126" i="11"/>
  <c r="C126" i="11"/>
  <c r="I121" i="11"/>
  <c r="G121" i="11"/>
  <c r="E121" i="11"/>
  <c r="D121" i="11"/>
  <c r="C121" i="11"/>
  <c r="F121" i="11"/>
  <c r="I9" i="11"/>
  <c r="H9" i="11"/>
  <c r="G9" i="11"/>
  <c r="F9" i="11"/>
  <c r="E9" i="11"/>
  <c r="D9" i="11"/>
  <c r="C9" i="11"/>
  <c r="I74" i="10"/>
  <c r="G74" i="10"/>
  <c r="F74" i="10"/>
  <c r="E74" i="10"/>
  <c r="D74" i="10"/>
  <c r="I48" i="10"/>
  <c r="G48" i="10"/>
  <c r="E48" i="10"/>
  <c r="D48" i="10"/>
  <c r="F48" i="10"/>
  <c r="I9" i="10"/>
  <c r="H9" i="10"/>
  <c r="G9" i="10"/>
  <c r="F9" i="10"/>
  <c r="E9" i="10"/>
  <c r="D9" i="10"/>
  <c r="C9" i="10"/>
  <c r="H27" i="6"/>
  <c r="H29" i="6" s="1"/>
  <c r="H21" i="6"/>
  <c r="H24" i="6" s="1"/>
  <c r="H83" i="9"/>
  <c r="H86" i="9" s="1"/>
  <c r="H64" i="9"/>
  <c r="H62" i="9"/>
  <c r="H76" i="9"/>
  <c r="H79" i="9" s="1"/>
  <c r="F78" i="9"/>
  <c r="F79" i="9" s="1"/>
  <c r="D92" i="9"/>
  <c r="E92" i="9"/>
  <c r="F92" i="9"/>
  <c r="G92" i="9"/>
  <c r="H92" i="9"/>
  <c r="I92" i="9"/>
  <c r="C92" i="9"/>
  <c r="F64" i="9"/>
  <c r="F65" i="9" s="1"/>
  <c r="D89" i="9"/>
  <c r="E89" i="9"/>
  <c r="F89" i="9"/>
  <c r="G89" i="9"/>
  <c r="H89" i="9"/>
  <c r="I89" i="9"/>
  <c r="C89" i="9"/>
  <c r="F13" i="9"/>
  <c r="F15" i="9" s="1"/>
  <c r="F9" i="9"/>
  <c r="F11" i="9" s="1"/>
  <c r="D18" i="9"/>
  <c r="E18" i="9"/>
  <c r="F18" i="9"/>
  <c r="G18" i="9"/>
  <c r="H18" i="9"/>
  <c r="I18" i="9"/>
  <c r="C18" i="9"/>
  <c r="D11" i="9"/>
  <c r="E11" i="9"/>
  <c r="G11" i="9"/>
  <c r="H11" i="9"/>
  <c r="I11" i="9"/>
  <c r="C11" i="9"/>
  <c r="I86" i="9"/>
  <c r="G86" i="9"/>
  <c r="F86" i="9"/>
  <c r="E86" i="9"/>
  <c r="D86" i="9"/>
  <c r="C86" i="9"/>
  <c r="I79" i="9"/>
  <c r="G79" i="9"/>
  <c r="E79" i="9"/>
  <c r="D79" i="9"/>
  <c r="C79" i="9"/>
  <c r="I74" i="9"/>
  <c r="H74" i="9"/>
  <c r="G74" i="9"/>
  <c r="F74" i="9"/>
  <c r="E74" i="9"/>
  <c r="D74" i="9"/>
  <c r="C74" i="9"/>
  <c r="I70" i="9"/>
  <c r="H70" i="9"/>
  <c r="G70" i="9"/>
  <c r="F70" i="9"/>
  <c r="E70" i="9"/>
  <c r="D70" i="9"/>
  <c r="C70" i="9"/>
  <c r="I65" i="9"/>
  <c r="G65" i="9"/>
  <c r="E65" i="9"/>
  <c r="D65" i="9"/>
  <c r="C65" i="9"/>
  <c r="I15" i="9"/>
  <c r="H15" i="9"/>
  <c r="G15" i="9"/>
  <c r="E15" i="9"/>
  <c r="D15" i="9"/>
  <c r="C15" i="9"/>
  <c r="D61" i="8"/>
  <c r="E61" i="8"/>
  <c r="F61" i="8"/>
  <c r="G61" i="8"/>
  <c r="H61" i="8"/>
  <c r="I61" i="8"/>
  <c r="C61" i="8"/>
  <c r="D54" i="8"/>
  <c r="E54" i="8"/>
  <c r="F54" i="8"/>
  <c r="G54" i="8"/>
  <c r="H54" i="8"/>
  <c r="I54" i="8"/>
  <c r="C54" i="8"/>
  <c r="D50" i="8"/>
  <c r="E50" i="8"/>
  <c r="F50" i="8"/>
  <c r="G50" i="8"/>
  <c r="H50" i="8"/>
  <c r="I50" i="8"/>
  <c r="C50" i="8"/>
  <c r="D47" i="8"/>
  <c r="E47" i="8"/>
  <c r="F47" i="8"/>
  <c r="G47" i="8"/>
  <c r="H47" i="8"/>
  <c r="I47" i="8"/>
  <c r="C47" i="8"/>
  <c r="D43" i="8"/>
  <c r="E43" i="8"/>
  <c r="F43" i="8"/>
  <c r="G43" i="8"/>
  <c r="H43" i="8"/>
  <c r="I43" i="8"/>
  <c r="C43" i="8"/>
  <c r="D11" i="8"/>
  <c r="D14" i="8" s="1"/>
  <c r="E11" i="8"/>
  <c r="E14" i="8" s="1"/>
  <c r="F11" i="8"/>
  <c r="F14" i="8" s="1"/>
  <c r="G11" i="8"/>
  <c r="G14" i="8" s="1"/>
  <c r="H11" i="8"/>
  <c r="H14" i="8" s="1"/>
  <c r="I11" i="8"/>
  <c r="I14" i="8" s="1"/>
  <c r="C11" i="8"/>
  <c r="C14" i="8" s="1"/>
  <c r="F27" i="7"/>
  <c r="F29" i="7" s="1"/>
  <c r="H26" i="4"/>
  <c r="H28" i="4" s="1"/>
  <c r="H21" i="4"/>
  <c r="H23" i="4" s="1"/>
  <c r="F22" i="4"/>
  <c r="F23" i="4" s="1"/>
  <c r="D29" i="7"/>
  <c r="E29" i="7"/>
  <c r="G29" i="7"/>
  <c r="H29" i="7"/>
  <c r="I29" i="7"/>
  <c r="C29" i="7"/>
  <c r="I10" i="7"/>
  <c r="H10" i="7"/>
  <c r="G10" i="7"/>
  <c r="F10" i="7"/>
  <c r="E10" i="7"/>
  <c r="D10" i="7"/>
  <c r="C10" i="7"/>
  <c r="I29" i="6"/>
  <c r="G29" i="6"/>
  <c r="F29" i="6"/>
  <c r="E29" i="6"/>
  <c r="D29" i="6"/>
  <c r="C29" i="6"/>
  <c r="I24" i="6"/>
  <c r="G24" i="6"/>
  <c r="F24" i="6"/>
  <c r="E24" i="6"/>
  <c r="D24" i="6"/>
  <c r="C24" i="6"/>
  <c r="I10" i="6"/>
  <c r="H10" i="6"/>
  <c r="G10" i="6"/>
  <c r="F10" i="6"/>
  <c r="E10" i="6"/>
  <c r="D10" i="6"/>
  <c r="C10" i="6"/>
  <c r="D28" i="4"/>
  <c r="E28" i="4"/>
  <c r="F28" i="4"/>
  <c r="G28" i="4"/>
  <c r="I28" i="4"/>
  <c r="C28" i="4"/>
  <c r="D23" i="4"/>
  <c r="D32" i="4" s="1"/>
  <c r="E23" i="4"/>
  <c r="G23" i="4"/>
  <c r="I23" i="4"/>
  <c r="C23" i="4"/>
  <c r="D10" i="4"/>
  <c r="E10" i="4"/>
  <c r="F10" i="4"/>
  <c r="G10" i="4"/>
  <c r="H10" i="4"/>
  <c r="I10" i="4"/>
  <c r="C10" i="4"/>
  <c r="H57" i="10" l="1"/>
  <c r="F65" i="10"/>
  <c r="F90" i="10" s="1"/>
  <c r="H65" i="9"/>
  <c r="H93" i="9" s="1"/>
  <c r="C31" i="6"/>
  <c r="I31" i="6"/>
  <c r="E207" i="11"/>
  <c r="E383" i="11" s="1"/>
  <c r="G207" i="11"/>
  <c r="G383" i="11" s="1"/>
  <c r="I207" i="11"/>
  <c r="I383" i="11" s="1"/>
  <c r="F207" i="11"/>
  <c r="F383" i="11" s="1"/>
  <c r="C207" i="11"/>
  <c r="C383" i="11" s="1"/>
  <c r="D207" i="11"/>
  <c r="D383" i="11" s="1"/>
  <c r="C87" i="11"/>
  <c r="E87" i="11"/>
  <c r="H87" i="11"/>
  <c r="D87" i="11"/>
  <c r="G87" i="11"/>
  <c r="I87" i="11"/>
  <c r="F87" i="11"/>
  <c r="D65" i="10"/>
  <c r="D90" i="10" s="1"/>
  <c r="E65" i="10"/>
  <c r="E90" i="10" s="1"/>
  <c r="I65" i="10"/>
  <c r="I90" i="10" s="1"/>
  <c r="C65" i="10"/>
  <c r="C90" i="10" s="1"/>
  <c r="G65" i="10"/>
  <c r="G90" i="10" s="1"/>
  <c r="F34" i="10"/>
  <c r="F37" i="10" s="1"/>
  <c r="D34" i="10"/>
  <c r="D37" i="10" s="1"/>
  <c r="E34" i="10"/>
  <c r="E37" i="10" s="1"/>
  <c r="G34" i="10"/>
  <c r="G37" i="10" s="1"/>
  <c r="I34" i="10"/>
  <c r="I37" i="10" s="1"/>
  <c r="H34" i="10"/>
  <c r="H37" i="10" s="1"/>
  <c r="C34" i="10"/>
  <c r="C37" i="10" s="1"/>
  <c r="H121" i="11"/>
  <c r="H207" i="11" s="1"/>
  <c r="H383" i="11" s="1"/>
  <c r="H48" i="10"/>
  <c r="F93" i="9"/>
  <c r="E32" i="4"/>
  <c r="D31" i="6"/>
  <c r="E31" i="6"/>
  <c r="G31" i="6"/>
  <c r="F31" i="6"/>
  <c r="G32" i="4"/>
  <c r="I93" i="9"/>
  <c r="G93" i="9"/>
  <c r="C93" i="9"/>
  <c r="D93" i="9"/>
  <c r="E93" i="9"/>
  <c r="C21" i="9"/>
  <c r="D21" i="9"/>
  <c r="I21" i="9"/>
  <c r="E21" i="9"/>
  <c r="H21" i="9"/>
  <c r="F21" i="9"/>
  <c r="G21" i="9"/>
  <c r="C80" i="9"/>
  <c r="E80" i="9"/>
  <c r="F80" i="9"/>
  <c r="G80" i="9"/>
  <c r="D80" i="9"/>
  <c r="I80" i="9"/>
  <c r="D55" i="8"/>
  <c r="D62" i="8" s="1"/>
  <c r="C55" i="8"/>
  <c r="C62" i="8" s="1"/>
  <c r="E55" i="8"/>
  <c r="E62" i="8" s="1"/>
  <c r="F55" i="8"/>
  <c r="F62" i="8" s="1"/>
  <c r="I55" i="8"/>
  <c r="I62" i="8" s="1"/>
  <c r="H55" i="8"/>
  <c r="H62" i="8" s="1"/>
  <c r="G55" i="8"/>
  <c r="G62" i="8" s="1"/>
  <c r="H31" i="6"/>
  <c r="H32" i="4"/>
  <c r="F32" i="4"/>
  <c r="C32" i="4"/>
  <c r="I32" i="4"/>
  <c r="D14" i="1"/>
  <c r="E14" i="1"/>
  <c r="F14" i="1"/>
  <c r="G14" i="1"/>
  <c r="H14" i="1"/>
  <c r="I14" i="1"/>
  <c r="C14" i="1"/>
  <c r="D13" i="1"/>
  <c r="E13" i="1"/>
  <c r="F13" i="1"/>
  <c r="G13" i="1"/>
  <c r="H13" i="1"/>
  <c r="I13" i="1"/>
  <c r="C13" i="1"/>
  <c r="D9" i="1"/>
  <c r="E9" i="1"/>
  <c r="F9" i="1"/>
  <c r="G9" i="1"/>
  <c r="H9" i="1"/>
  <c r="I9" i="1"/>
  <c r="C9" i="1"/>
  <c r="H80" i="9" l="1"/>
  <c r="H65" i="10"/>
  <c r="H90" i="10" s="1"/>
</calcChain>
</file>

<file path=xl/sharedStrings.xml><?xml version="1.0" encoding="utf-8"?>
<sst xmlns="http://schemas.openxmlformats.org/spreadsheetml/2006/main" count="898" uniqueCount="510">
  <si>
    <t>Account</t>
  </si>
  <si>
    <t>Description</t>
  </si>
  <si>
    <t>Budget</t>
  </si>
  <si>
    <t>Adopted</t>
  </si>
  <si>
    <t>YTD</t>
  </si>
  <si>
    <t>Proposed</t>
  </si>
  <si>
    <t>Revenues</t>
  </si>
  <si>
    <t xml:space="preserve">Total Revenue </t>
  </si>
  <si>
    <t>Expenditures</t>
  </si>
  <si>
    <t>Fire District CE</t>
  </si>
  <si>
    <t>Total Fire Protection</t>
  </si>
  <si>
    <t>Total Expense</t>
  </si>
  <si>
    <t>SM1001</t>
  </si>
  <si>
    <t>SM2401</t>
  </si>
  <si>
    <t xml:space="preserve">Interest/Earnings </t>
  </si>
  <si>
    <t>Real Property Tax</t>
  </si>
  <si>
    <t>SM54101</t>
  </si>
  <si>
    <t>SM54104</t>
  </si>
  <si>
    <t>Sidewalk PS</t>
  </si>
  <si>
    <t>Sidewalk CE</t>
  </si>
  <si>
    <t xml:space="preserve">Total Sidewalks </t>
  </si>
  <si>
    <t>SM90108</t>
  </si>
  <si>
    <t>State Retierment</t>
  </si>
  <si>
    <t>SM90308</t>
  </si>
  <si>
    <t>Social Security</t>
  </si>
  <si>
    <t>SM90608</t>
  </si>
  <si>
    <t>Hospital and Medical</t>
  </si>
  <si>
    <t>Total Employee Benefits</t>
  </si>
  <si>
    <t>SM99509</t>
  </si>
  <si>
    <t>Capital Project Fund</t>
  </si>
  <si>
    <t xml:space="preserve">Town of Elizabethtown </t>
  </si>
  <si>
    <t xml:space="preserve">Fire District </t>
  </si>
  <si>
    <t>Budget 2025</t>
  </si>
  <si>
    <t>Sidewalk District</t>
  </si>
  <si>
    <t>Garbage District</t>
  </si>
  <si>
    <t>SR1001</t>
  </si>
  <si>
    <t>SR2401</t>
  </si>
  <si>
    <t>SR81601</t>
  </si>
  <si>
    <t>SR81602</t>
  </si>
  <si>
    <t>SR81604</t>
  </si>
  <si>
    <t>Refuse/Garbage EQ</t>
  </si>
  <si>
    <t>Refuse/Garbage PS</t>
  </si>
  <si>
    <t>Refuse/Garbage CE</t>
  </si>
  <si>
    <t>Lighting District</t>
  </si>
  <si>
    <t>SL1001</t>
  </si>
  <si>
    <t>SL2401</t>
  </si>
  <si>
    <t>SL51824</t>
  </si>
  <si>
    <t xml:space="preserve">Street Lightng </t>
  </si>
  <si>
    <t>Water One District</t>
  </si>
  <si>
    <t>SW2142</t>
  </si>
  <si>
    <t>SW2144</t>
  </si>
  <si>
    <t>Unmetered Water Sales</t>
  </si>
  <si>
    <t>Water Service Charges</t>
  </si>
  <si>
    <t>Total Department Income</t>
  </si>
  <si>
    <t>SW1089</t>
  </si>
  <si>
    <t>Other Tax Items</t>
  </si>
  <si>
    <t>SW83101</t>
  </si>
  <si>
    <t>SW83104</t>
  </si>
  <si>
    <t>Administration PS</t>
  </si>
  <si>
    <t>Administration CE</t>
  </si>
  <si>
    <t>Total Administration</t>
  </si>
  <si>
    <t>SW83201</t>
  </si>
  <si>
    <t>SW83204</t>
  </si>
  <si>
    <t>Power Pump PS</t>
  </si>
  <si>
    <t>Power Pump CE</t>
  </si>
  <si>
    <t>Total Power Pump</t>
  </si>
  <si>
    <t>SW83304</t>
  </si>
  <si>
    <t>Purification CE</t>
  </si>
  <si>
    <t xml:space="preserve">Total Purification </t>
  </si>
  <si>
    <t>SW83401</t>
  </si>
  <si>
    <t>SW83404</t>
  </si>
  <si>
    <t>Transmission/Distribution PS</t>
  </si>
  <si>
    <t>Transmission/Distribution CE</t>
  </si>
  <si>
    <t>Total Transmission/Distribution</t>
  </si>
  <si>
    <t>Total Home and Community Services</t>
  </si>
  <si>
    <t>SW90108</t>
  </si>
  <si>
    <t>SW90308</t>
  </si>
  <si>
    <t>SW90580</t>
  </si>
  <si>
    <t>SW90608</t>
  </si>
  <si>
    <t>Unemployment Insurance</t>
  </si>
  <si>
    <t>Water Three District</t>
  </si>
  <si>
    <t>SW1001</t>
  </si>
  <si>
    <t>SW1030</t>
  </si>
  <si>
    <t>Special Assessment- Debt</t>
  </si>
  <si>
    <t>Total Real Property Taxes</t>
  </si>
  <si>
    <t>Total Use of Money and Property</t>
  </si>
  <si>
    <t>Fund Balance Appropriation</t>
  </si>
  <si>
    <t>Total Revenues</t>
  </si>
  <si>
    <t>SW2140</t>
  </si>
  <si>
    <t>SW83102</t>
  </si>
  <si>
    <t>Administration EQ</t>
  </si>
  <si>
    <t>SW83202</t>
  </si>
  <si>
    <t>Source, Supply, Power and Pump PS</t>
  </si>
  <si>
    <t>Source, Supply, Power and Pump EQ</t>
  </si>
  <si>
    <t>Source, Supply, Power and Pump CE</t>
  </si>
  <si>
    <t>SW83301</t>
  </si>
  <si>
    <t>Purification ps</t>
  </si>
  <si>
    <t>SW83402</t>
  </si>
  <si>
    <t>Transmission/Distribution EQ</t>
  </si>
  <si>
    <t>SW97206</t>
  </si>
  <si>
    <t>Bond Principal</t>
  </si>
  <si>
    <t>Total Dept Principal</t>
  </si>
  <si>
    <t>SW99019</t>
  </si>
  <si>
    <t>Transfer, Other Funds</t>
  </si>
  <si>
    <t xml:space="preserve">Total Operating Transfers </t>
  </si>
  <si>
    <t xml:space="preserve"> </t>
  </si>
  <si>
    <t>Highway District</t>
  </si>
  <si>
    <t>DA1001</t>
  </si>
  <si>
    <t>SW2401</t>
  </si>
  <si>
    <t>General Fund District</t>
  </si>
  <si>
    <t>A1081</t>
  </si>
  <si>
    <t>A1001</t>
  </si>
  <si>
    <t>OtherPayments in Liew of Taxes</t>
  </si>
  <si>
    <t>A1089</t>
  </si>
  <si>
    <t>A1090</t>
  </si>
  <si>
    <t>Interest &amp; Earnings of Real Property</t>
  </si>
  <si>
    <t>A1120</t>
  </si>
  <si>
    <t>Non-Property-Sales Tax Essex. Co</t>
  </si>
  <si>
    <t>Franchises</t>
  </si>
  <si>
    <t>A1170</t>
  </si>
  <si>
    <t>Total Non Property Tax Items</t>
  </si>
  <si>
    <t>A1255</t>
  </si>
  <si>
    <t>Clerk Fees</t>
  </si>
  <si>
    <t>A1603</t>
  </si>
  <si>
    <t>Vital Statistics</t>
  </si>
  <si>
    <t>A2025</t>
  </si>
  <si>
    <t>Golf Course</t>
  </si>
  <si>
    <t>Golf Course-Snack Bar</t>
  </si>
  <si>
    <t>Golf Course- Pro Shop</t>
  </si>
  <si>
    <t>A2130</t>
  </si>
  <si>
    <t>Refuse Garbage Charges</t>
  </si>
  <si>
    <t>A2189</t>
  </si>
  <si>
    <t>Home &amp; Community, Other</t>
  </si>
  <si>
    <t>Total Departmental Income</t>
  </si>
  <si>
    <t>DA2300</t>
  </si>
  <si>
    <t>DA2302</t>
  </si>
  <si>
    <t>DA2401</t>
  </si>
  <si>
    <t>DA2416</t>
  </si>
  <si>
    <t>Services for other Governements</t>
  </si>
  <si>
    <t>Snow Removal, Other Govern'ts</t>
  </si>
  <si>
    <t>Rental of Eq, Other Governements</t>
  </si>
  <si>
    <t>DA2701</t>
  </si>
  <si>
    <t>DA2665</t>
  </si>
  <si>
    <t>DA2680</t>
  </si>
  <si>
    <t>Sales- Surplus Scrap</t>
  </si>
  <si>
    <t>Sales of Equipment</t>
  </si>
  <si>
    <t xml:space="preserve">Insurance Recoveries </t>
  </si>
  <si>
    <t xml:space="preserve">Total Unclassified Revenues </t>
  </si>
  <si>
    <t>DA2710</t>
  </si>
  <si>
    <t>DA2650</t>
  </si>
  <si>
    <t>DA2770</t>
  </si>
  <si>
    <t>Total Sale of Prop &amp; Comp for Loss</t>
  </si>
  <si>
    <t>Refunds from Prior Years</t>
  </si>
  <si>
    <t xml:space="preserve">Premium on Obligations </t>
  </si>
  <si>
    <t xml:space="preserve">Unclassified Revenues </t>
  </si>
  <si>
    <t>DA3501</t>
  </si>
  <si>
    <t>DA3960</t>
  </si>
  <si>
    <t>State Aid- Consolidated Highway Aid</t>
  </si>
  <si>
    <t>State Aid- Emergency Disaster</t>
  </si>
  <si>
    <t xml:space="preserve">Total State Aid </t>
  </si>
  <si>
    <t>DA4960</t>
  </si>
  <si>
    <t>Fed Aid- Emergency Disaster Assist</t>
  </si>
  <si>
    <t>Total Federal Aid</t>
  </si>
  <si>
    <t>DA51101</t>
  </si>
  <si>
    <t>DA51104</t>
  </si>
  <si>
    <t>General Repairs- PS</t>
  </si>
  <si>
    <t>General Repairs- CE</t>
  </si>
  <si>
    <t xml:space="preserve">Total General Repairs </t>
  </si>
  <si>
    <t>DA51122</t>
  </si>
  <si>
    <t>Capital Outlay (CHIPS)</t>
  </si>
  <si>
    <t>Total Capital Outlay</t>
  </si>
  <si>
    <t>DA51301</t>
  </si>
  <si>
    <t>DA51301.18</t>
  </si>
  <si>
    <t>DA513202</t>
  </si>
  <si>
    <t>DA51304</t>
  </si>
  <si>
    <t>Machinery-PS</t>
  </si>
  <si>
    <t>Machinery Stepend-PS</t>
  </si>
  <si>
    <t>Machinery- EQ</t>
  </si>
  <si>
    <t>Machinery- CE</t>
  </si>
  <si>
    <t>DA51421</t>
  </si>
  <si>
    <t>DA51424</t>
  </si>
  <si>
    <t>Snow Removal- PS</t>
  </si>
  <si>
    <t>Snow Removal- CE</t>
  </si>
  <si>
    <t>Total Machinery</t>
  </si>
  <si>
    <t>Total Snow Removal</t>
  </si>
  <si>
    <t>DA87604</t>
  </si>
  <si>
    <t>Emergency Disaster- C/E</t>
  </si>
  <si>
    <t>Total Services- Other Government</t>
  </si>
  <si>
    <t xml:space="preserve">Total Transportation </t>
  </si>
  <si>
    <t>A90108</t>
  </si>
  <si>
    <t>DA90108</t>
  </si>
  <si>
    <t>DA90308</t>
  </si>
  <si>
    <t>DA90408</t>
  </si>
  <si>
    <t>DA90508</t>
  </si>
  <si>
    <t>DA90558</t>
  </si>
  <si>
    <t>DA90608</t>
  </si>
  <si>
    <t>DA90898</t>
  </si>
  <si>
    <t>State Retirement- Employee Benefits</t>
  </si>
  <si>
    <t>Social Security- Employee Benefits</t>
  </si>
  <si>
    <t>Worker's Comp</t>
  </si>
  <si>
    <t>Disability Insurance- Employee</t>
  </si>
  <si>
    <t xml:space="preserve">Medical Insurance </t>
  </si>
  <si>
    <t>Insurance Buy Out</t>
  </si>
  <si>
    <t>DA97306</t>
  </si>
  <si>
    <t>DA97307</t>
  </si>
  <si>
    <t>BAN- Truck Principal</t>
  </si>
  <si>
    <t xml:space="preserve">BAN- Truck Interest </t>
  </si>
  <si>
    <t xml:space="preserve">BAN- Roof Principal </t>
  </si>
  <si>
    <t xml:space="preserve">BAN- Roof Interest </t>
  </si>
  <si>
    <t>Total Debt Services BAN</t>
  </si>
  <si>
    <t>Total Debt</t>
  </si>
  <si>
    <t>Total Real Property Tax Items</t>
  </si>
  <si>
    <t>A2401</t>
  </si>
  <si>
    <t>A2410</t>
  </si>
  <si>
    <t>Rental of Real Property</t>
  </si>
  <si>
    <t>A2450</t>
  </si>
  <si>
    <t>Commissions</t>
  </si>
  <si>
    <t>A2544</t>
  </si>
  <si>
    <t>A2555</t>
  </si>
  <si>
    <t>Dog Licenses</t>
  </si>
  <si>
    <t xml:space="preserve">Licenses &amp; Permits </t>
  </si>
  <si>
    <t>Total Licenses and Permits</t>
  </si>
  <si>
    <t>A2610</t>
  </si>
  <si>
    <t>A2611</t>
  </si>
  <si>
    <t>Fines and Forfeit</t>
  </si>
  <si>
    <t>Fines and Forfeit- Dog Cases</t>
  </si>
  <si>
    <t xml:space="preserve">Total Fines and Forfeit </t>
  </si>
  <si>
    <t>A2650</t>
  </si>
  <si>
    <t>A2655</t>
  </si>
  <si>
    <t>A2661</t>
  </si>
  <si>
    <t>A2680</t>
  </si>
  <si>
    <t>A2690</t>
  </si>
  <si>
    <t>Sales of Surplus Scrap</t>
  </si>
  <si>
    <t>Minor Sales, Other</t>
  </si>
  <si>
    <t>Sales of Gravel</t>
  </si>
  <si>
    <t>Insurance Recoveries</t>
  </si>
  <si>
    <t>Other Compensation</t>
  </si>
  <si>
    <t>Total Sales &amp; Comp. for Loss</t>
  </si>
  <si>
    <t>A2701</t>
  </si>
  <si>
    <t>A2705</t>
  </si>
  <si>
    <t>A2710</t>
  </si>
  <si>
    <t>A2770</t>
  </si>
  <si>
    <t>A2771</t>
  </si>
  <si>
    <t>Refund- Prior Year</t>
  </si>
  <si>
    <t>Gifts and Donations</t>
  </si>
  <si>
    <t>Permium of Obligations</t>
  </si>
  <si>
    <t>Unclassified Revenue</t>
  </si>
  <si>
    <t xml:space="preserve">Grants </t>
  </si>
  <si>
    <t xml:space="preserve">Total Miscellaneous Local </t>
  </si>
  <si>
    <t>A3001</t>
  </si>
  <si>
    <t>A3005</t>
  </si>
  <si>
    <t>A3040</t>
  </si>
  <si>
    <t>A3089</t>
  </si>
  <si>
    <t>A3820</t>
  </si>
  <si>
    <t>A3902</t>
  </si>
  <si>
    <t>A3960</t>
  </si>
  <si>
    <t>A3989</t>
  </si>
  <si>
    <t>A3991</t>
  </si>
  <si>
    <t>A4089</t>
  </si>
  <si>
    <t>A4960</t>
  </si>
  <si>
    <t>State Aid Per Capita- AIM</t>
  </si>
  <si>
    <t>State Aid- Mtg Tax</t>
  </si>
  <si>
    <t>State Aid- Real Property Tax Admin</t>
  </si>
  <si>
    <t>State Aid- Other</t>
  </si>
  <si>
    <t>State Aid- Youth Program</t>
  </si>
  <si>
    <t>State Aid- Planning Studies</t>
  </si>
  <si>
    <t>State Aid- Emergency Disaster Work</t>
  </si>
  <si>
    <t xml:space="preserve">State Aid- Grants </t>
  </si>
  <si>
    <t>Rev from Aid</t>
  </si>
  <si>
    <t>Total State Aid</t>
  </si>
  <si>
    <t>Federal Aid- Other</t>
  </si>
  <si>
    <t>Federal Aid- Emergency Work</t>
  </si>
  <si>
    <t xml:space="preserve">Fund Balance Apporation </t>
  </si>
  <si>
    <t>A1091</t>
  </si>
  <si>
    <t xml:space="preserve">Interest and Penalties </t>
  </si>
  <si>
    <t>A10101</t>
  </si>
  <si>
    <t>A10104</t>
  </si>
  <si>
    <t>Town Board- P/S</t>
  </si>
  <si>
    <t>Town Board- C/E</t>
  </si>
  <si>
    <t xml:space="preserve">Expenditures </t>
  </si>
  <si>
    <t xml:space="preserve">Total Town Board </t>
  </si>
  <si>
    <t>A11101</t>
  </si>
  <si>
    <t>A11104</t>
  </si>
  <si>
    <t>Justice P/S</t>
  </si>
  <si>
    <t>Justice Clerk P/S</t>
  </si>
  <si>
    <t>Justice C/E</t>
  </si>
  <si>
    <t xml:space="preserve">Total Justice </t>
  </si>
  <si>
    <t>A12201</t>
  </si>
  <si>
    <t>A12204</t>
  </si>
  <si>
    <t>Supervisor P/S</t>
  </si>
  <si>
    <t>Supervisor C/E</t>
  </si>
  <si>
    <t xml:space="preserve">Total Supervisor </t>
  </si>
  <si>
    <t>A13204</t>
  </si>
  <si>
    <t>Independent Audit &amp; Acct C/E</t>
  </si>
  <si>
    <t>Total Ind. Audit &amp; Acct</t>
  </si>
  <si>
    <t>A13304</t>
  </si>
  <si>
    <t>Tax Collection C/E</t>
  </si>
  <si>
    <t xml:space="preserve">Total Tax Collection </t>
  </si>
  <si>
    <t>A13401</t>
  </si>
  <si>
    <t>Budget- P/S</t>
  </si>
  <si>
    <t>Total Budget</t>
  </si>
  <si>
    <t>A13554</t>
  </si>
  <si>
    <t>Assessor C/E</t>
  </si>
  <si>
    <t>Total Assessor</t>
  </si>
  <si>
    <t>A13804</t>
  </si>
  <si>
    <t>Fiscal Agent Fee</t>
  </si>
  <si>
    <t>Total Fiscal Agent Fee</t>
  </si>
  <si>
    <t>A14101</t>
  </si>
  <si>
    <t>A14104</t>
  </si>
  <si>
    <t>Town Clerk P/S</t>
  </si>
  <si>
    <t>Town Clerk Deputy P/S</t>
  </si>
  <si>
    <t xml:space="preserve">Town Clerk </t>
  </si>
  <si>
    <t xml:space="preserve">Total Town Clerk </t>
  </si>
  <si>
    <t>A14204</t>
  </si>
  <si>
    <t>Attorney C/E</t>
  </si>
  <si>
    <t xml:space="preserve">Total Attorney </t>
  </si>
  <si>
    <t>A14301</t>
  </si>
  <si>
    <t>A14304</t>
  </si>
  <si>
    <t>Personnel P/S CD</t>
  </si>
  <si>
    <t>Personnel P/S PS</t>
  </si>
  <si>
    <t>Personnel C/E</t>
  </si>
  <si>
    <t>Total Personnel</t>
  </si>
  <si>
    <t>A14404</t>
  </si>
  <si>
    <t>Engineering Fees C/E</t>
  </si>
  <si>
    <t xml:space="preserve">Total Engineering </t>
  </si>
  <si>
    <t>A14804</t>
  </si>
  <si>
    <t xml:space="preserve">Public Info and Services </t>
  </si>
  <si>
    <t>Total Public Info</t>
  </si>
  <si>
    <t>A16101</t>
  </si>
  <si>
    <t>Central Services Admin P/S</t>
  </si>
  <si>
    <t>Total Shared Services</t>
  </si>
  <si>
    <t>A16201</t>
  </si>
  <si>
    <t>A16202</t>
  </si>
  <si>
    <t>A16204</t>
  </si>
  <si>
    <t>Buildings P/S</t>
  </si>
  <si>
    <t>Buildings EQ</t>
  </si>
  <si>
    <t>Buildngs C/E</t>
  </si>
  <si>
    <t xml:space="preserve">Total Buildings </t>
  </si>
  <si>
    <t>A16802</t>
  </si>
  <si>
    <t>A16804</t>
  </si>
  <si>
    <t>Central Data Processing EQ</t>
  </si>
  <si>
    <t>Central Data Processing C/E</t>
  </si>
  <si>
    <t xml:space="preserve">Total Central Data </t>
  </si>
  <si>
    <t>A19104</t>
  </si>
  <si>
    <t xml:space="preserve">Total Unallocated Insurance </t>
  </si>
  <si>
    <t>Unallocated Insurance C/E</t>
  </si>
  <si>
    <t>A19204</t>
  </si>
  <si>
    <t>Municipal Association Due C/E</t>
  </si>
  <si>
    <t xml:space="preserve">Total Municipal Association </t>
  </si>
  <si>
    <t xml:space="preserve">A19504 </t>
  </si>
  <si>
    <t>Tax &amp; Assessment of Municipal</t>
  </si>
  <si>
    <t>Toatl Taxes onf Municipal Property</t>
  </si>
  <si>
    <t>A19724</t>
  </si>
  <si>
    <t xml:space="preserve">Pmt to Treasurer </t>
  </si>
  <si>
    <t>Total Pmt to Treasurer</t>
  </si>
  <si>
    <t>A19894</t>
  </si>
  <si>
    <t>A19904</t>
  </si>
  <si>
    <t>Other Gen Govt Support</t>
  </si>
  <si>
    <t xml:space="preserve">Contingency </t>
  </si>
  <si>
    <t xml:space="preserve">Total Other General Govt </t>
  </si>
  <si>
    <t>Total General Government Support</t>
  </si>
  <si>
    <t>A35104</t>
  </si>
  <si>
    <t>Dog Control- C/E</t>
  </si>
  <si>
    <t>Total Dog Control</t>
  </si>
  <si>
    <t>A36204</t>
  </si>
  <si>
    <t>Safety Inspection C/E</t>
  </si>
  <si>
    <t xml:space="preserve">Total Safty Inspection </t>
  </si>
  <si>
    <t xml:space="preserve">Total Public Safety </t>
  </si>
  <si>
    <t>A40201</t>
  </si>
  <si>
    <t>A40204</t>
  </si>
  <si>
    <t>Registar of Vital Stats P/S</t>
  </si>
  <si>
    <t>Registar of Vital Stats C/E</t>
  </si>
  <si>
    <t>Total Registar of Vital Stats</t>
  </si>
  <si>
    <t>A40504</t>
  </si>
  <si>
    <t>Public Health- C/E</t>
  </si>
  <si>
    <t>Public Health- ARPA</t>
  </si>
  <si>
    <t>Public Health- COVID</t>
  </si>
  <si>
    <t>Total Public Health</t>
  </si>
  <si>
    <t>A42204</t>
  </si>
  <si>
    <t>Narcotic Addiction Control C/E</t>
  </si>
  <si>
    <t xml:space="preserve">Total Narctodic Addiction </t>
  </si>
  <si>
    <t>A45404</t>
  </si>
  <si>
    <t>Ambulance C/E</t>
  </si>
  <si>
    <t xml:space="preserve">Total Ambulance </t>
  </si>
  <si>
    <t>A49894</t>
  </si>
  <si>
    <t>Health Testing C/E</t>
  </si>
  <si>
    <t xml:space="preserve">Total Health Testing </t>
  </si>
  <si>
    <t xml:space="preserve">Total Health </t>
  </si>
  <si>
    <t>A50101</t>
  </si>
  <si>
    <t>A50102</t>
  </si>
  <si>
    <t>A50104</t>
  </si>
  <si>
    <t>Supt. Of Highways P/S</t>
  </si>
  <si>
    <t>Supt. Of Highway/Deputy P/S</t>
  </si>
  <si>
    <t>Supt. Of Highways EQ</t>
  </si>
  <si>
    <t>Supt of Highways CE</t>
  </si>
  <si>
    <t xml:space="preserve">Total Supt of Highways </t>
  </si>
  <si>
    <t>A51321</t>
  </si>
  <si>
    <t>A51324</t>
  </si>
  <si>
    <t>Garage P/S</t>
  </si>
  <si>
    <t>Garage C/E</t>
  </si>
  <si>
    <t xml:space="preserve">Total Garage </t>
  </si>
  <si>
    <t>A51824</t>
  </si>
  <si>
    <t>Street Lighting C/E</t>
  </si>
  <si>
    <t xml:space="preserve">Total Street Lighting </t>
  </si>
  <si>
    <t>A54104</t>
  </si>
  <si>
    <t>Gravel Pit</t>
  </si>
  <si>
    <t>Total Gravel Pit</t>
  </si>
  <si>
    <t>Total Transportation</t>
  </si>
  <si>
    <t>A64104</t>
  </si>
  <si>
    <t>Publicity C/E</t>
  </si>
  <si>
    <t xml:space="preserve">Total Publicity </t>
  </si>
  <si>
    <t>A65104</t>
  </si>
  <si>
    <t>Veterns Services C/E</t>
  </si>
  <si>
    <t xml:space="preserve">Total Veterns Services </t>
  </si>
  <si>
    <t>A67724</t>
  </si>
  <si>
    <t>Programs for the Aging CE</t>
  </si>
  <si>
    <t>Total Programs for the Aging</t>
  </si>
  <si>
    <t>Total Economic Assit &amp; Opp</t>
  </si>
  <si>
    <t>A70104</t>
  </si>
  <si>
    <t>Council on the Arts C/E</t>
  </si>
  <si>
    <t>Total Council of the Arts</t>
  </si>
  <si>
    <t>A70201</t>
  </si>
  <si>
    <t>A70204</t>
  </si>
  <si>
    <t>Recreation PS</t>
  </si>
  <si>
    <t>Recreation CE</t>
  </si>
  <si>
    <t xml:space="preserve">Total Recreation </t>
  </si>
  <si>
    <t>A71101</t>
  </si>
  <si>
    <t>A71104</t>
  </si>
  <si>
    <t>Parks PS</t>
  </si>
  <si>
    <t>Parks CE</t>
  </si>
  <si>
    <t>Total Parks</t>
  </si>
  <si>
    <t>A71801</t>
  </si>
  <si>
    <t>A71802</t>
  </si>
  <si>
    <t>A71804</t>
  </si>
  <si>
    <t>Golf Course PS</t>
  </si>
  <si>
    <t>Golf Course - Snack Bar PS</t>
  </si>
  <si>
    <t>Golf Course EQ</t>
  </si>
  <si>
    <t>Golf Course CE</t>
  </si>
  <si>
    <t>Golf Course Snak Bar CE</t>
  </si>
  <si>
    <t xml:space="preserve">Total Golf Course </t>
  </si>
  <si>
    <t>A72704</t>
  </si>
  <si>
    <t>Band Concerts CE</t>
  </si>
  <si>
    <t>Total Band Concerts</t>
  </si>
  <si>
    <t>A73104</t>
  </si>
  <si>
    <t>A73204</t>
  </si>
  <si>
    <t>Youth Program CE</t>
  </si>
  <si>
    <t>Total Youth Program</t>
  </si>
  <si>
    <t>A75104</t>
  </si>
  <si>
    <t xml:space="preserve">Historian </t>
  </si>
  <si>
    <t xml:space="preserve"> Total Historian</t>
  </si>
  <si>
    <t>A75504</t>
  </si>
  <si>
    <t>Celebrations CE</t>
  </si>
  <si>
    <t xml:space="preserve">Total Celebrations </t>
  </si>
  <si>
    <t>A79894</t>
  </si>
  <si>
    <t xml:space="preserve">Chamber of Commerce </t>
  </si>
  <si>
    <t>Total Chanmber of Commerce</t>
  </si>
  <si>
    <t xml:space="preserve"> Total Culture and Rec. </t>
  </si>
  <si>
    <t>A80140</t>
  </si>
  <si>
    <t xml:space="preserve">Zoning Board </t>
  </si>
  <si>
    <t xml:space="preserve">Total Zoning Board </t>
  </si>
  <si>
    <t>A80204</t>
  </si>
  <si>
    <t>Planning CE</t>
  </si>
  <si>
    <t>Total Planning</t>
  </si>
  <si>
    <t>A80904</t>
  </si>
  <si>
    <t>Enviromental Control CE</t>
  </si>
  <si>
    <t>Total Enviromental Control</t>
  </si>
  <si>
    <t>A81601</t>
  </si>
  <si>
    <t>A81604</t>
  </si>
  <si>
    <t>Refuse &amp; Garbage PS</t>
  </si>
  <si>
    <t>Refuse &amp; Garbage CE</t>
  </si>
  <si>
    <t>Total Refuse &amp; Garbage</t>
  </si>
  <si>
    <t>A83104</t>
  </si>
  <si>
    <t>Admin/Auditor CE</t>
  </si>
  <si>
    <t xml:space="preserve">Total Admin/Aditor </t>
  </si>
  <si>
    <t>A85104</t>
  </si>
  <si>
    <t>Beautification Committee CE</t>
  </si>
  <si>
    <t xml:space="preserve">Total Beautification </t>
  </si>
  <si>
    <t>A86644</t>
  </si>
  <si>
    <t>Code Enforcement CE</t>
  </si>
  <si>
    <t>Total Code Enforcement</t>
  </si>
  <si>
    <t>A87204</t>
  </si>
  <si>
    <t>Total Fish and Game</t>
  </si>
  <si>
    <t xml:space="preserve">Fish and Game </t>
  </si>
  <si>
    <t>A87604</t>
  </si>
  <si>
    <t xml:space="preserve">Total Emergency Disaster </t>
  </si>
  <si>
    <t>Emergency Disaster CE</t>
  </si>
  <si>
    <t>A88101</t>
  </si>
  <si>
    <t>A88104</t>
  </si>
  <si>
    <t>Cemetery PS</t>
  </si>
  <si>
    <t>Cemetrery CE</t>
  </si>
  <si>
    <t>Total Home and Community</t>
  </si>
  <si>
    <t>A90308</t>
  </si>
  <si>
    <t>A90408</t>
  </si>
  <si>
    <t>A90508</t>
  </si>
  <si>
    <t>A90558</t>
  </si>
  <si>
    <t>A90608</t>
  </si>
  <si>
    <t>A90898</t>
  </si>
  <si>
    <t>Total Cemetery</t>
  </si>
  <si>
    <t>A97306</t>
  </si>
  <si>
    <t>BAN- Principal</t>
  </si>
  <si>
    <t>B&amp;L Stettlement (Matures 22)</t>
  </si>
  <si>
    <t>GreensKing IV- GC (Matures 23)</t>
  </si>
  <si>
    <t xml:space="preserve">Total BAN- Principal </t>
  </si>
  <si>
    <t>A97307</t>
  </si>
  <si>
    <t xml:space="preserve">BAN- Interest </t>
  </si>
  <si>
    <t xml:space="preserve">Total BAN- Interest </t>
  </si>
  <si>
    <t>Total Debit- Principal and Interest</t>
  </si>
  <si>
    <t xml:space="preserve">Total Expendature </t>
  </si>
  <si>
    <t xml:space="preserve">Tentative </t>
  </si>
  <si>
    <t xml:space="preserve">Expendatures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</si>
</sst>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  <xf numFmtId="44" fontId="0" fillId="0" borderId="0" xfId="1" applyFont="1" applyAlignment="1"/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44" fontId="2" fillId="2" borderId="0" xfId="1" applyFont="1" applyFill="1"/>
    <xf numFmtId="0" fontId="2" fillId="2" borderId="0" xfId="0" applyFont="1" applyFill="1"/>
    <xf numFmtId="0" fontId="0" fillId="0" borderId="0" xfId="0" applyAlignment="1">
      <alignment horizontal="left"/>
    </xf>
    <xf numFmtId="44" fontId="2" fillId="0" borderId="0" xfId="1" applyFont="1" applyFill="1"/>
    <xf numFmtId="44" fontId="1" fillId="0" borderId="0" xfId="1" applyFont="1" applyFill="1"/>
    <xf numFmtId="0" fontId="3" fillId="0" borderId="0" xfId="0" applyFont="1" applyAlignment="1">
      <alignment horizontal="center"/>
    </xf>
    <xf numFmtId="44" fontId="0" fillId="0" borderId="0" xfId="1" applyFont="1" applyFill="1"/>
    <xf numFmtId="44" fontId="2" fillId="2" borderId="0" xfId="1" applyFont="1" applyFill="1" applyAlignment="1">
      <alignment horizontal="center"/>
    </xf>
    <xf numFmtId="44" fontId="2" fillId="0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4" fontId="2" fillId="3" borderId="0" xfId="1" applyFont="1" applyFill="1" applyAlignment="1">
      <alignment horizontal="center"/>
    </xf>
    <xf numFmtId="44" fontId="1" fillId="0" borderId="0" xfId="1" applyFont="1" applyFill="1" applyAlignment="1">
      <alignment horizontal="center"/>
    </xf>
    <xf numFmtId="0" fontId="5" fillId="2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4" fontId="0" fillId="0" borderId="0" xfId="1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0" xfId="0" applyAlignment="1"/>
    <xf numFmtId="0" fontId="2" fillId="2" borderId="0" xfId="0" applyFont="1" applyFill="1" applyAlignment="1"/>
    <xf numFmtId="0" fontId="2" fillId="0" borderId="0" xfId="0" applyFont="1" applyAlignment="1"/>
    <xf numFmtId="44" fontId="1" fillId="0" borderId="0" xfId="1" applyFont="1"/>
    <xf numFmtId="0" fontId="2" fillId="0" borderId="0" xfId="0" applyFont="1" applyFill="1"/>
    <xf numFmtId="0" fontId="0" fillId="0" borderId="0" xfId="0" applyFont="1" applyFill="1"/>
    <xf numFmtId="44" fontId="4" fillId="0" borderId="0" xfId="1" applyFont="1" applyFill="1"/>
    <xf numFmtId="0" fontId="2" fillId="4" borderId="0" xfId="0" applyFont="1" applyFill="1"/>
    <xf numFmtId="44" fontId="2" fillId="4" borderId="0" xfId="1" applyFont="1" applyFill="1"/>
    <xf numFmtId="0" fontId="2" fillId="0" borderId="0" xfId="0" applyFont="1" applyFill="1" applyAlignment="1"/>
    <xf numFmtId="0" fontId="3" fillId="0" borderId="0" xfId="0" applyFont="1" applyAlignment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322E-1FC7-4851-B675-2F6B7E2FB543}">
  <sheetPr>
    <pageSetUpPr fitToPage="1"/>
  </sheetPr>
  <dimension ref="A1:J14"/>
  <sheetViews>
    <sheetView workbookViewId="0">
      <selection activeCell="I13" sqref="I13"/>
    </sheetView>
  </sheetViews>
  <sheetFormatPr defaultRowHeight="15" x14ac:dyDescent="0.25"/>
  <cols>
    <col min="2" max="2" width="19.42578125" bestFit="1" customWidth="1"/>
    <col min="3" max="9" width="12.5703125" style="4" bestFit="1" customWidth="1"/>
  </cols>
  <sheetData>
    <row r="1" spans="1:10" ht="15.75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.75" x14ac:dyDescent="0.25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D4" s="5"/>
    </row>
    <row r="5" spans="1:10" x14ac:dyDescent="0.25">
      <c r="A5" s="3"/>
      <c r="B5" s="3"/>
      <c r="C5" s="25">
        <v>2022</v>
      </c>
      <c r="D5" s="25"/>
      <c r="E5" s="25">
        <v>2023</v>
      </c>
      <c r="F5" s="25"/>
      <c r="G5" s="25">
        <v>2024</v>
      </c>
      <c r="H5" s="25"/>
      <c r="I5" s="8">
        <v>2025</v>
      </c>
    </row>
    <row r="6" spans="1:10" x14ac:dyDescent="0.25">
      <c r="A6" s="3" t="s">
        <v>0</v>
      </c>
      <c r="B6" s="3" t="s">
        <v>1</v>
      </c>
      <c r="C6" s="6" t="s">
        <v>2</v>
      </c>
      <c r="D6" s="6" t="s">
        <v>3</v>
      </c>
      <c r="E6" s="6" t="s">
        <v>2</v>
      </c>
      <c r="F6" s="6" t="s">
        <v>3</v>
      </c>
      <c r="G6" s="6" t="s">
        <v>2</v>
      </c>
      <c r="H6" s="6" t="s">
        <v>4</v>
      </c>
      <c r="I6" s="6" t="s">
        <v>508</v>
      </c>
    </row>
    <row r="7" spans="1:10" x14ac:dyDescent="0.25">
      <c r="A7" s="1"/>
      <c r="B7" s="3" t="s">
        <v>6</v>
      </c>
      <c r="C7" s="7"/>
      <c r="D7" s="7"/>
      <c r="E7" s="7"/>
      <c r="F7" s="7"/>
      <c r="G7" s="7"/>
      <c r="H7" s="7"/>
      <c r="I7" s="7"/>
    </row>
    <row r="8" spans="1:10" x14ac:dyDescent="0.25">
      <c r="A8">
        <v>1001</v>
      </c>
      <c r="B8" s="40" t="s">
        <v>15</v>
      </c>
      <c r="C8" s="4">
        <v>138498</v>
      </c>
      <c r="D8" s="4">
        <v>138498</v>
      </c>
      <c r="E8" s="4">
        <v>142026</v>
      </c>
      <c r="F8" s="4">
        <v>142506.01</v>
      </c>
      <c r="G8" s="4">
        <v>146297</v>
      </c>
      <c r="H8" s="4">
        <v>146297</v>
      </c>
      <c r="I8" s="4">
        <v>146297</v>
      </c>
    </row>
    <row r="9" spans="1:10" s="2" customFormat="1" x14ac:dyDescent="0.25">
      <c r="B9" s="41" t="s">
        <v>7</v>
      </c>
      <c r="C9" s="10">
        <f>SUM(C8)</f>
        <v>138498</v>
      </c>
      <c r="D9" s="10">
        <f t="shared" ref="D9:I9" si="0">SUM(D8)</f>
        <v>138498</v>
      </c>
      <c r="E9" s="10">
        <f t="shared" si="0"/>
        <v>142026</v>
      </c>
      <c r="F9" s="10">
        <f t="shared" si="0"/>
        <v>142506.01</v>
      </c>
      <c r="G9" s="10">
        <f t="shared" si="0"/>
        <v>146297</v>
      </c>
      <c r="H9" s="10">
        <f t="shared" si="0"/>
        <v>146297</v>
      </c>
      <c r="I9" s="10">
        <f t="shared" si="0"/>
        <v>146297</v>
      </c>
    </row>
    <row r="10" spans="1:10" x14ac:dyDescent="0.25">
      <c r="B10" s="40"/>
    </row>
    <row r="11" spans="1:10" x14ac:dyDescent="0.25">
      <c r="B11" s="42" t="s">
        <v>8</v>
      </c>
    </row>
    <row r="12" spans="1:10" x14ac:dyDescent="0.25">
      <c r="A12">
        <v>34104</v>
      </c>
      <c r="B12" s="40" t="s">
        <v>9</v>
      </c>
      <c r="C12" s="4">
        <v>138498</v>
      </c>
      <c r="D12" s="4">
        <v>138498</v>
      </c>
      <c r="E12" s="4">
        <v>142026</v>
      </c>
      <c r="F12" s="4">
        <v>141826</v>
      </c>
      <c r="G12" s="4">
        <v>146297</v>
      </c>
      <c r="H12" s="4">
        <v>146297</v>
      </c>
      <c r="I12" s="4">
        <v>146297</v>
      </c>
    </row>
    <row r="13" spans="1:10" x14ac:dyDescent="0.25">
      <c r="B13" s="41" t="s">
        <v>10</v>
      </c>
      <c r="C13" s="10">
        <f>SUM(C12)</f>
        <v>138498</v>
      </c>
      <c r="D13" s="10">
        <f t="shared" ref="D13:I13" si="1">SUM(D12)</f>
        <v>138498</v>
      </c>
      <c r="E13" s="10">
        <f t="shared" si="1"/>
        <v>142026</v>
      </c>
      <c r="F13" s="10">
        <f t="shared" si="1"/>
        <v>141826</v>
      </c>
      <c r="G13" s="10">
        <f t="shared" si="1"/>
        <v>146297</v>
      </c>
      <c r="H13" s="10">
        <f t="shared" si="1"/>
        <v>146297</v>
      </c>
      <c r="I13" s="10">
        <f t="shared" si="1"/>
        <v>146297</v>
      </c>
    </row>
    <row r="14" spans="1:10" x14ac:dyDescent="0.25">
      <c r="B14" s="41" t="s">
        <v>11</v>
      </c>
      <c r="C14" s="10">
        <f>C12</f>
        <v>138498</v>
      </c>
      <c r="D14" s="10">
        <f t="shared" ref="D14:I14" si="2">D12</f>
        <v>138498</v>
      </c>
      <c r="E14" s="10">
        <f t="shared" si="2"/>
        <v>142026</v>
      </c>
      <c r="F14" s="10">
        <f t="shared" si="2"/>
        <v>141826</v>
      </c>
      <c r="G14" s="10">
        <f t="shared" si="2"/>
        <v>146297</v>
      </c>
      <c r="H14" s="10">
        <f t="shared" si="2"/>
        <v>146297</v>
      </c>
      <c r="I14" s="10">
        <f t="shared" si="2"/>
        <v>146297</v>
      </c>
    </row>
  </sheetData>
  <mergeCells count="6">
    <mergeCell ref="E5:F5"/>
    <mergeCell ref="G5:H5"/>
    <mergeCell ref="C5:D5"/>
    <mergeCell ref="A1:J1"/>
    <mergeCell ref="A2:J2"/>
    <mergeCell ref="A3:J3"/>
  </mergeCells>
  <pageMargins left="0.7" right="0.7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FB04E-3C1E-47DA-B6C4-54D72A865513}">
  <sheetPr>
    <pageSetUpPr fitToPage="1"/>
  </sheetPr>
  <dimension ref="A1:J32"/>
  <sheetViews>
    <sheetView workbookViewId="0">
      <selection activeCell="H28" sqref="H28"/>
    </sheetView>
  </sheetViews>
  <sheetFormatPr defaultRowHeight="15" x14ac:dyDescent="0.25"/>
  <cols>
    <col min="2" max="2" width="22.85546875" bestFit="1" customWidth="1"/>
    <col min="3" max="8" width="12.140625" style="4" bestFit="1" customWidth="1"/>
    <col min="9" max="9" width="11.5703125" style="4" bestFit="1" customWidth="1"/>
  </cols>
  <sheetData>
    <row r="1" spans="1:10" ht="15.75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.75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D4" s="5"/>
    </row>
    <row r="5" spans="1:10" x14ac:dyDescent="0.25">
      <c r="A5" s="3"/>
      <c r="B5" s="3"/>
      <c r="C5" s="25">
        <v>2022</v>
      </c>
      <c r="D5" s="25"/>
      <c r="E5" s="25">
        <v>2023</v>
      </c>
      <c r="F5" s="25"/>
      <c r="G5" s="25">
        <v>2024</v>
      </c>
      <c r="H5" s="25"/>
      <c r="I5" s="8">
        <v>2025</v>
      </c>
    </row>
    <row r="6" spans="1:10" s="2" customFormat="1" x14ac:dyDescent="0.25">
      <c r="A6" s="3" t="s">
        <v>0</v>
      </c>
      <c r="B6" s="3" t="s">
        <v>1</v>
      </c>
      <c r="C6" s="6" t="s">
        <v>2</v>
      </c>
      <c r="D6" s="6" t="s">
        <v>3</v>
      </c>
      <c r="E6" s="6" t="s">
        <v>2</v>
      </c>
      <c r="F6" s="6" t="s">
        <v>3</v>
      </c>
      <c r="G6" s="6" t="s">
        <v>2</v>
      </c>
      <c r="H6" s="6" t="s">
        <v>4</v>
      </c>
      <c r="I6" s="6" t="s">
        <v>5</v>
      </c>
      <c r="J6"/>
    </row>
    <row r="7" spans="1:10" x14ac:dyDescent="0.25">
      <c r="A7" s="1"/>
      <c r="B7" s="3" t="s">
        <v>6</v>
      </c>
      <c r="C7" s="7"/>
      <c r="D7" s="7"/>
      <c r="E7" s="7"/>
      <c r="F7" s="7"/>
      <c r="G7" s="7"/>
      <c r="H7" s="7"/>
      <c r="I7" s="7"/>
    </row>
    <row r="8" spans="1:10" x14ac:dyDescent="0.25">
      <c r="A8" t="s">
        <v>12</v>
      </c>
      <c r="B8" s="40" t="s">
        <v>15</v>
      </c>
      <c r="C8" s="4">
        <v>28112</v>
      </c>
      <c r="D8" s="4">
        <v>28112</v>
      </c>
      <c r="E8" s="4">
        <v>28112</v>
      </c>
      <c r="F8" s="4">
        <v>28112</v>
      </c>
      <c r="G8" s="4">
        <v>28112</v>
      </c>
      <c r="H8" s="4">
        <v>28112</v>
      </c>
      <c r="I8" s="4">
        <v>28112</v>
      </c>
    </row>
    <row r="9" spans="1:10" x14ac:dyDescent="0.25">
      <c r="A9" t="s">
        <v>13</v>
      </c>
      <c r="B9" s="40" t="s">
        <v>14</v>
      </c>
      <c r="C9" s="4">
        <v>100</v>
      </c>
      <c r="D9" s="4">
        <v>1931.53</v>
      </c>
      <c r="E9" s="4">
        <v>100</v>
      </c>
      <c r="F9" s="16">
        <v>7731.47</v>
      </c>
      <c r="G9" s="4">
        <v>4000</v>
      </c>
      <c r="H9" s="46">
        <v>5834.07</v>
      </c>
      <c r="I9" s="4">
        <v>4000</v>
      </c>
    </row>
    <row r="10" spans="1:10" x14ac:dyDescent="0.25">
      <c r="A10" s="2"/>
      <c r="B10" s="41" t="s">
        <v>7</v>
      </c>
      <c r="C10" s="10">
        <f>SUM(C8:C9)</f>
        <v>28212</v>
      </c>
      <c r="D10" s="10">
        <f t="shared" ref="D10:I10" si="0">SUM(D8:D9)</f>
        <v>30043.53</v>
      </c>
      <c r="E10" s="10">
        <f t="shared" si="0"/>
        <v>28212</v>
      </c>
      <c r="F10" s="10">
        <f t="shared" si="0"/>
        <v>35843.47</v>
      </c>
      <c r="G10" s="10">
        <f t="shared" si="0"/>
        <v>32112</v>
      </c>
      <c r="H10" s="10">
        <f t="shared" si="0"/>
        <v>33946.07</v>
      </c>
      <c r="I10" s="10">
        <f t="shared" si="0"/>
        <v>32112</v>
      </c>
      <c r="J10" s="2"/>
    </row>
    <row r="11" spans="1:10" x14ac:dyDescent="0.25">
      <c r="A11" s="2"/>
      <c r="B11" s="49"/>
      <c r="C11" s="13"/>
      <c r="D11" s="13"/>
      <c r="E11" s="13"/>
      <c r="F11" s="13"/>
      <c r="G11" s="13"/>
      <c r="H11" s="13"/>
      <c r="I11" s="13"/>
      <c r="J11" s="2"/>
    </row>
    <row r="12" spans="1:10" x14ac:dyDescent="0.25">
      <c r="A12" s="2"/>
      <c r="B12" s="49"/>
      <c r="C12" s="13"/>
      <c r="D12" s="13"/>
      <c r="E12" s="13"/>
      <c r="F12" s="13"/>
      <c r="G12" s="13"/>
      <c r="H12" s="13"/>
      <c r="I12" s="13"/>
      <c r="J12" s="2"/>
    </row>
    <row r="14" spans="1:10" ht="15.75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</row>
    <row r="15" spans="1:10" ht="15.75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0" ht="15.75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5">
      <c r="D17" s="5"/>
    </row>
    <row r="18" spans="1:10" x14ac:dyDescent="0.25">
      <c r="A18" s="3"/>
      <c r="B18" s="3"/>
      <c r="C18" s="25">
        <v>2022</v>
      </c>
      <c r="D18" s="25"/>
      <c r="E18" s="25">
        <v>2023</v>
      </c>
      <c r="F18" s="25"/>
      <c r="G18" s="25">
        <v>2024</v>
      </c>
      <c r="H18" s="25"/>
      <c r="I18" s="8">
        <v>2025</v>
      </c>
    </row>
    <row r="19" spans="1:10" s="2" customFormat="1" x14ac:dyDescent="0.25">
      <c r="A19" s="3" t="s">
        <v>0</v>
      </c>
      <c r="B19" s="3" t="s">
        <v>1</v>
      </c>
      <c r="C19" s="6" t="s">
        <v>2</v>
      </c>
      <c r="D19" s="6" t="s">
        <v>3</v>
      </c>
      <c r="E19" s="6" t="s">
        <v>2</v>
      </c>
      <c r="F19" s="6" t="s">
        <v>3</v>
      </c>
      <c r="G19" s="6" t="s">
        <v>2</v>
      </c>
      <c r="H19" s="6" t="s">
        <v>4</v>
      </c>
      <c r="I19" s="6" t="s">
        <v>5</v>
      </c>
      <c r="J19"/>
    </row>
    <row r="20" spans="1:10" x14ac:dyDescent="0.25">
      <c r="B20" s="2" t="s">
        <v>509</v>
      </c>
    </row>
    <row r="21" spans="1:10" x14ac:dyDescent="0.25">
      <c r="A21" t="s">
        <v>16</v>
      </c>
      <c r="B21" s="12" t="s">
        <v>18</v>
      </c>
      <c r="C21" s="4">
        <v>12000</v>
      </c>
      <c r="D21" s="4">
        <v>6350.84</v>
      </c>
      <c r="E21" s="4">
        <v>12000</v>
      </c>
      <c r="F21" s="16">
        <v>4064</v>
      </c>
      <c r="G21" s="4">
        <v>12000</v>
      </c>
      <c r="H21" s="16">
        <f>3357-702</f>
        <v>2655</v>
      </c>
      <c r="I21" s="4">
        <v>12000</v>
      </c>
    </row>
    <row r="22" spans="1:10" x14ac:dyDescent="0.25">
      <c r="A22" t="s">
        <v>17</v>
      </c>
      <c r="B22" s="12" t="s">
        <v>19</v>
      </c>
      <c r="C22" s="4">
        <v>8000</v>
      </c>
      <c r="D22" s="4">
        <v>482.41</v>
      </c>
      <c r="E22" s="4">
        <v>8000</v>
      </c>
      <c r="F22" s="16">
        <f>37714.97-5599</f>
        <v>32115.97</v>
      </c>
      <c r="G22" s="4">
        <v>11900</v>
      </c>
      <c r="H22" s="16">
        <v>0</v>
      </c>
      <c r="I22" s="4">
        <v>11900</v>
      </c>
    </row>
    <row r="23" spans="1:10" x14ac:dyDescent="0.25">
      <c r="B23" s="33" t="s">
        <v>20</v>
      </c>
      <c r="C23" s="10">
        <f>SUM(C21:C22)</f>
        <v>20000</v>
      </c>
      <c r="D23" s="10">
        <f t="shared" ref="D23:I23" si="1">SUM(D21:D22)</f>
        <v>6833.25</v>
      </c>
      <c r="E23" s="10">
        <f t="shared" si="1"/>
        <v>20000</v>
      </c>
      <c r="F23" s="10">
        <f t="shared" si="1"/>
        <v>36179.97</v>
      </c>
      <c r="G23" s="10">
        <f t="shared" si="1"/>
        <v>23900</v>
      </c>
      <c r="H23" s="10">
        <f t="shared" si="1"/>
        <v>2655</v>
      </c>
      <c r="I23" s="10">
        <f t="shared" si="1"/>
        <v>23900</v>
      </c>
    </row>
    <row r="24" spans="1:10" x14ac:dyDescent="0.25">
      <c r="B24" s="12"/>
    </row>
    <row r="25" spans="1:10" x14ac:dyDescent="0.25">
      <c r="A25" t="s">
        <v>21</v>
      </c>
      <c r="B25" s="12" t="s">
        <v>22</v>
      </c>
      <c r="C25" s="4">
        <v>1000</v>
      </c>
      <c r="D25" s="4">
        <v>484.54</v>
      </c>
      <c r="E25" s="4">
        <v>1000</v>
      </c>
      <c r="F25" s="16">
        <v>0</v>
      </c>
      <c r="G25" s="4">
        <v>1000</v>
      </c>
      <c r="H25" s="16">
        <v>0</v>
      </c>
      <c r="I25" s="4">
        <v>1000</v>
      </c>
    </row>
    <row r="26" spans="1:10" x14ac:dyDescent="0.25">
      <c r="A26" t="s">
        <v>23</v>
      </c>
      <c r="B26" s="12" t="s">
        <v>24</v>
      </c>
      <c r="C26" s="4">
        <v>1000</v>
      </c>
      <c r="D26" s="4">
        <v>485.32</v>
      </c>
      <c r="E26" s="4">
        <v>1000</v>
      </c>
      <c r="F26" s="16">
        <v>310.94</v>
      </c>
      <c r="G26" s="4">
        <v>1000</v>
      </c>
      <c r="H26" s="16">
        <f>256.77-53.69</f>
        <v>203.07999999999998</v>
      </c>
      <c r="I26" s="4">
        <v>1000</v>
      </c>
    </row>
    <row r="27" spans="1:10" x14ac:dyDescent="0.25">
      <c r="A27" t="s">
        <v>25</v>
      </c>
      <c r="B27" s="12" t="s">
        <v>26</v>
      </c>
      <c r="C27" s="4">
        <v>1000</v>
      </c>
      <c r="D27" s="4">
        <v>0</v>
      </c>
      <c r="E27" s="4">
        <v>1000</v>
      </c>
      <c r="F27" s="16">
        <v>0</v>
      </c>
      <c r="G27" s="4">
        <v>1000</v>
      </c>
      <c r="H27" s="16">
        <v>203.12</v>
      </c>
      <c r="I27" s="4">
        <v>1000</v>
      </c>
    </row>
    <row r="28" spans="1:10" x14ac:dyDescent="0.25">
      <c r="B28" s="33" t="s">
        <v>27</v>
      </c>
      <c r="C28" s="10">
        <f>SUM(C25:C27)</f>
        <v>3000</v>
      </c>
      <c r="D28" s="10">
        <f t="shared" ref="D28:I28" si="2">SUM(D25:D27)</f>
        <v>969.86</v>
      </c>
      <c r="E28" s="10">
        <f t="shared" si="2"/>
        <v>3000</v>
      </c>
      <c r="F28" s="10">
        <f t="shared" si="2"/>
        <v>310.94</v>
      </c>
      <c r="G28" s="10">
        <f t="shared" si="2"/>
        <v>3000</v>
      </c>
      <c r="H28" s="10">
        <f t="shared" si="2"/>
        <v>406.2</v>
      </c>
      <c r="I28" s="10">
        <f t="shared" si="2"/>
        <v>3000</v>
      </c>
    </row>
    <row r="29" spans="1:10" x14ac:dyDescent="0.25">
      <c r="B29" s="23"/>
      <c r="C29" s="13"/>
      <c r="D29" s="13"/>
      <c r="E29" s="13"/>
      <c r="F29" s="13"/>
      <c r="G29" s="13"/>
      <c r="H29" s="13"/>
      <c r="I29" s="13"/>
    </row>
    <row r="30" spans="1:10" x14ac:dyDescent="0.25">
      <c r="A30" t="s">
        <v>28</v>
      </c>
      <c r="B30" s="12" t="s">
        <v>29</v>
      </c>
      <c r="C30" s="14">
        <v>5212</v>
      </c>
      <c r="D30" s="14">
        <v>5212</v>
      </c>
      <c r="E30" s="14">
        <v>5212</v>
      </c>
      <c r="F30" s="14">
        <v>0</v>
      </c>
      <c r="G30" s="14">
        <v>5212</v>
      </c>
      <c r="H30" s="14">
        <v>0</v>
      </c>
      <c r="I30" s="14">
        <v>5212</v>
      </c>
    </row>
    <row r="31" spans="1:10" x14ac:dyDescent="0.25">
      <c r="B31" s="23"/>
      <c r="C31" s="13"/>
      <c r="D31" s="13"/>
      <c r="E31" s="13"/>
      <c r="F31" s="13"/>
      <c r="G31" s="13"/>
      <c r="H31" s="13"/>
      <c r="I31" s="13"/>
    </row>
    <row r="32" spans="1:10" x14ac:dyDescent="0.25">
      <c r="B32" s="33" t="s">
        <v>11</v>
      </c>
      <c r="C32" s="10">
        <f>SUM(C23+C28+C30)</f>
        <v>28212</v>
      </c>
      <c r="D32" s="10">
        <f t="shared" ref="D32:I32" si="3">SUM(D23+D28+D30)</f>
        <v>13015.11</v>
      </c>
      <c r="E32" s="10">
        <f t="shared" si="3"/>
        <v>28212</v>
      </c>
      <c r="F32" s="10">
        <f t="shared" si="3"/>
        <v>36490.910000000003</v>
      </c>
      <c r="G32" s="10">
        <f t="shared" si="3"/>
        <v>32112</v>
      </c>
      <c r="H32" s="10">
        <f t="shared" si="3"/>
        <v>3061.2</v>
      </c>
      <c r="I32" s="10">
        <f t="shared" si="3"/>
        <v>32112</v>
      </c>
    </row>
  </sheetData>
  <mergeCells count="12">
    <mergeCell ref="A14:J14"/>
    <mergeCell ref="A15:J15"/>
    <mergeCell ref="A16:J16"/>
    <mergeCell ref="C18:D18"/>
    <mergeCell ref="E18:F18"/>
    <mergeCell ref="G18:H18"/>
    <mergeCell ref="C5:D5"/>
    <mergeCell ref="E5:F5"/>
    <mergeCell ref="G5:H5"/>
    <mergeCell ref="A1:J1"/>
    <mergeCell ref="A2:J2"/>
    <mergeCell ref="A3:J3"/>
  </mergeCells>
  <pageMargins left="0.7" right="0.7" top="0.75" bottom="0.75" header="0.3" footer="0.3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90A72-FDB0-483B-9F3F-73B4B9DB2E5C}">
  <sheetPr>
    <pageSetUpPr fitToPage="1"/>
  </sheetPr>
  <dimension ref="A1:J31"/>
  <sheetViews>
    <sheetView topLeftCell="A3" workbookViewId="0">
      <selection activeCell="I28" sqref="I28"/>
    </sheetView>
  </sheetViews>
  <sheetFormatPr defaultRowHeight="15" x14ac:dyDescent="0.25"/>
  <cols>
    <col min="2" max="2" width="22.85546875" bestFit="1" customWidth="1"/>
    <col min="3" max="8" width="12.140625" style="4" bestFit="1" customWidth="1"/>
    <col min="9" max="9" width="11.5703125" style="4" bestFit="1" customWidth="1"/>
  </cols>
  <sheetData>
    <row r="1" spans="1:10" ht="15.75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.75" x14ac:dyDescent="0.25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D4" s="5"/>
    </row>
    <row r="5" spans="1:10" x14ac:dyDescent="0.25">
      <c r="A5" s="3"/>
      <c r="B5" s="3"/>
      <c r="C5" s="25">
        <v>2022</v>
      </c>
      <c r="D5" s="25"/>
      <c r="E5" s="25">
        <v>2023</v>
      </c>
      <c r="F5" s="25"/>
      <c r="G5" s="25">
        <v>2024</v>
      </c>
      <c r="H5" s="25"/>
      <c r="I5" s="8">
        <v>2025</v>
      </c>
    </row>
    <row r="6" spans="1:10" s="2" customFormat="1" x14ac:dyDescent="0.25">
      <c r="A6" s="3" t="s">
        <v>0</v>
      </c>
      <c r="B6" s="3" t="s">
        <v>1</v>
      </c>
      <c r="C6" s="6" t="s">
        <v>2</v>
      </c>
      <c r="D6" s="6" t="s">
        <v>3</v>
      </c>
      <c r="E6" s="6" t="s">
        <v>2</v>
      </c>
      <c r="F6" s="6" t="s">
        <v>3</v>
      </c>
      <c r="G6" s="6" t="s">
        <v>2</v>
      </c>
      <c r="H6" s="6" t="s">
        <v>4</v>
      </c>
      <c r="I6" s="6" t="s">
        <v>5</v>
      </c>
      <c r="J6"/>
    </row>
    <row r="7" spans="1:10" x14ac:dyDescent="0.25">
      <c r="A7" s="1"/>
      <c r="B7" s="3" t="s">
        <v>6</v>
      </c>
      <c r="C7" s="7"/>
      <c r="D7" s="7"/>
      <c r="E7" s="7"/>
      <c r="F7" s="7"/>
      <c r="G7" s="7"/>
      <c r="H7" s="7"/>
      <c r="I7" s="7"/>
    </row>
    <row r="8" spans="1:10" x14ac:dyDescent="0.25">
      <c r="A8" t="s">
        <v>35</v>
      </c>
      <c r="B8" s="40" t="s">
        <v>15</v>
      </c>
      <c r="C8" s="4">
        <v>13302</v>
      </c>
      <c r="D8" s="4">
        <v>13302</v>
      </c>
      <c r="E8" s="4">
        <v>13302</v>
      </c>
      <c r="F8" s="4">
        <v>13302</v>
      </c>
      <c r="G8" s="4">
        <v>13302</v>
      </c>
      <c r="H8" s="4">
        <v>13302</v>
      </c>
      <c r="I8" s="4">
        <v>13302</v>
      </c>
    </row>
    <row r="9" spans="1:10" x14ac:dyDescent="0.25">
      <c r="A9" t="s">
        <v>36</v>
      </c>
      <c r="B9" s="40" t="s">
        <v>14</v>
      </c>
      <c r="C9" s="4">
        <v>20</v>
      </c>
      <c r="D9" s="4">
        <v>698.98</v>
      </c>
      <c r="E9" s="4">
        <v>20</v>
      </c>
      <c r="F9" s="16">
        <v>2748.15</v>
      </c>
      <c r="G9" s="4">
        <v>2000</v>
      </c>
      <c r="H9" s="16">
        <v>2025.86</v>
      </c>
      <c r="I9" s="4">
        <v>2000</v>
      </c>
    </row>
    <row r="10" spans="1:10" x14ac:dyDescent="0.25">
      <c r="A10" s="2"/>
      <c r="B10" s="41" t="s">
        <v>7</v>
      </c>
      <c r="C10" s="10">
        <f>SUM(C8:C9)</f>
        <v>13322</v>
      </c>
      <c r="D10" s="10">
        <f t="shared" ref="D10:I10" si="0">SUM(D8:D9)</f>
        <v>14000.98</v>
      </c>
      <c r="E10" s="10">
        <f t="shared" si="0"/>
        <v>13322</v>
      </c>
      <c r="F10" s="10">
        <f t="shared" si="0"/>
        <v>16050.15</v>
      </c>
      <c r="G10" s="10">
        <f t="shared" si="0"/>
        <v>15302</v>
      </c>
      <c r="H10" s="10">
        <f t="shared" si="0"/>
        <v>15327.86</v>
      </c>
      <c r="I10" s="10">
        <f t="shared" si="0"/>
        <v>15302</v>
      </c>
      <c r="J10" s="2"/>
    </row>
    <row r="18" spans="1:9" x14ac:dyDescent="0.25">
      <c r="A18" s="3"/>
      <c r="B18" s="3"/>
      <c r="C18" s="25">
        <v>2022</v>
      </c>
      <c r="D18" s="25"/>
      <c r="E18" s="25">
        <v>2023</v>
      </c>
      <c r="F18" s="25"/>
      <c r="G18" s="25">
        <v>2024</v>
      </c>
      <c r="H18" s="25"/>
      <c r="I18" s="8">
        <v>2025</v>
      </c>
    </row>
    <row r="19" spans="1:9" x14ac:dyDescent="0.25">
      <c r="A19" s="3" t="s">
        <v>0</v>
      </c>
      <c r="B19" s="3" t="s">
        <v>1</v>
      </c>
      <c r="C19" s="6" t="s">
        <v>2</v>
      </c>
      <c r="D19" s="6" t="s">
        <v>3</v>
      </c>
      <c r="E19" s="6" t="s">
        <v>2</v>
      </c>
      <c r="F19" s="6" t="s">
        <v>3</v>
      </c>
      <c r="G19" s="6" t="s">
        <v>2</v>
      </c>
      <c r="H19" s="6" t="s">
        <v>4</v>
      </c>
      <c r="I19" s="6" t="s">
        <v>5</v>
      </c>
    </row>
    <row r="20" spans="1:9" x14ac:dyDescent="0.25">
      <c r="B20" s="3" t="s">
        <v>8</v>
      </c>
    </row>
    <row r="21" spans="1:9" x14ac:dyDescent="0.25">
      <c r="A21" t="s">
        <v>37</v>
      </c>
      <c r="B21" s="12" t="s">
        <v>41</v>
      </c>
      <c r="C21" s="4">
        <v>8280</v>
      </c>
      <c r="D21" s="4">
        <v>6653.32</v>
      </c>
      <c r="E21" s="4">
        <v>8280</v>
      </c>
      <c r="F21" s="16">
        <v>6849.32</v>
      </c>
      <c r="G21" s="4">
        <v>10260</v>
      </c>
      <c r="H21" s="4">
        <f>6858.13-1256.32+314.08</f>
        <v>5915.89</v>
      </c>
      <c r="I21" s="4">
        <v>10260</v>
      </c>
    </row>
    <row r="22" spans="1:9" x14ac:dyDescent="0.25">
      <c r="A22" t="s">
        <v>38</v>
      </c>
      <c r="B22" s="12" t="s">
        <v>40</v>
      </c>
      <c r="C22" s="4">
        <v>0</v>
      </c>
      <c r="D22" s="4">
        <v>0</v>
      </c>
      <c r="E22" s="4">
        <v>0</v>
      </c>
      <c r="F22" s="16">
        <v>0</v>
      </c>
      <c r="G22" s="4">
        <v>0</v>
      </c>
      <c r="H22" s="4">
        <v>0</v>
      </c>
      <c r="I22" s="4">
        <v>0</v>
      </c>
    </row>
    <row r="23" spans="1:9" x14ac:dyDescent="0.25">
      <c r="A23" t="s">
        <v>39</v>
      </c>
      <c r="B23" s="12" t="s">
        <v>42</v>
      </c>
      <c r="C23" s="4">
        <v>3500</v>
      </c>
      <c r="D23" s="4">
        <v>3508.26</v>
      </c>
      <c r="E23" s="4">
        <v>3500</v>
      </c>
      <c r="F23" s="16">
        <v>73.05</v>
      </c>
      <c r="G23" s="4">
        <v>3500</v>
      </c>
      <c r="H23" s="4">
        <v>411.38</v>
      </c>
      <c r="I23" s="4">
        <v>3500</v>
      </c>
    </row>
    <row r="24" spans="1:9" x14ac:dyDescent="0.25">
      <c r="B24" s="33" t="s">
        <v>20</v>
      </c>
      <c r="C24" s="10">
        <f>SUM(C21:C23)</f>
        <v>11780</v>
      </c>
      <c r="D24" s="10">
        <f t="shared" ref="D24:I24" si="1">SUM(D21:D23)</f>
        <v>10161.58</v>
      </c>
      <c r="E24" s="10">
        <f t="shared" si="1"/>
        <v>11780</v>
      </c>
      <c r="F24" s="10">
        <f t="shared" si="1"/>
        <v>6922.37</v>
      </c>
      <c r="G24" s="10">
        <f t="shared" si="1"/>
        <v>13760</v>
      </c>
      <c r="H24" s="10">
        <f t="shared" si="1"/>
        <v>6327.27</v>
      </c>
      <c r="I24" s="10">
        <f t="shared" si="1"/>
        <v>13760</v>
      </c>
    </row>
    <row r="25" spans="1:9" x14ac:dyDescent="0.25">
      <c r="B25" s="12"/>
    </row>
    <row r="26" spans="1:9" x14ac:dyDescent="0.25">
      <c r="A26" t="s">
        <v>21</v>
      </c>
      <c r="B26" s="12" t="s">
        <v>22</v>
      </c>
      <c r="C26" s="4">
        <v>792</v>
      </c>
      <c r="D26" s="4">
        <v>969.08</v>
      </c>
      <c r="E26" s="4">
        <v>792</v>
      </c>
      <c r="F26" s="16">
        <v>0</v>
      </c>
      <c r="G26" s="4">
        <v>792</v>
      </c>
      <c r="H26" s="4">
        <v>0</v>
      </c>
      <c r="I26" s="4">
        <v>792</v>
      </c>
    </row>
    <row r="27" spans="1:9" x14ac:dyDescent="0.25">
      <c r="A27" t="s">
        <v>23</v>
      </c>
      <c r="B27" s="12" t="s">
        <v>24</v>
      </c>
      <c r="C27" s="4">
        <v>500</v>
      </c>
      <c r="D27" s="4">
        <v>508.98</v>
      </c>
      <c r="E27" s="4">
        <v>500</v>
      </c>
      <c r="F27" s="16">
        <v>523.91999999999996</v>
      </c>
      <c r="G27" s="4">
        <v>500</v>
      </c>
      <c r="H27" s="4">
        <f>524.5-96.08+24.02</f>
        <v>452.44</v>
      </c>
      <c r="I27" s="4">
        <v>500</v>
      </c>
    </row>
    <row r="28" spans="1:9" x14ac:dyDescent="0.25">
      <c r="A28" t="s">
        <v>25</v>
      </c>
      <c r="B28" s="12" t="s">
        <v>26</v>
      </c>
      <c r="C28" s="4">
        <v>250</v>
      </c>
      <c r="D28" s="4">
        <v>0</v>
      </c>
      <c r="E28" s="4">
        <v>250</v>
      </c>
      <c r="F28" s="16">
        <v>0</v>
      </c>
      <c r="G28" s="4">
        <v>250</v>
      </c>
      <c r="H28" s="4">
        <v>264.33</v>
      </c>
      <c r="I28" s="4">
        <v>250</v>
      </c>
    </row>
    <row r="29" spans="1:9" x14ac:dyDescent="0.25">
      <c r="B29" s="33" t="s">
        <v>27</v>
      </c>
      <c r="C29" s="10">
        <f>SUM(C26:C28)</f>
        <v>1542</v>
      </c>
      <c r="D29" s="10">
        <f t="shared" ref="D29:I29" si="2">SUM(D26:D28)</f>
        <v>1478.06</v>
      </c>
      <c r="E29" s="10">
        <f t="shared" si="2"/>
        <v>1542</v>
      </c>
      <c r="F29" s="10">
        <f t="shared" si="2"/>
        <v>523.91999999999996</v>
      </c>
      <c r="G29" s="10">
        <f t="shared" si="2"/>
        <v>1542</v>
      </c>
      <c r="H29" s="10">
        <f t="shared" si="2"/>
        <v>716.77</v>
      </c>
      <c r="I29" s="10">
        <f t="shared" si="2"/>
        <v>1542</v>
      </c>
    </row>
    <row r="30" spans="1:9" x14ac:dyDescent="0.25">
      <c r="B30" s="23"/>
      <c r="C30" s="13"/>
      <c r="D30" s="13"/>
      <c r="E30" s="13"/>
      <c r="F30" s="13"/>
      <c r="G30" s="13"/>
      <c r="H30" s="13"/>
      <c r="I30" s="13"/>
    </row>
    <row r="31" spans="1:9" x14ac:dyDescent="0.25">
      <c r="B31" s="33" t="s">
        <v>11</v>
      </c>
      <c r="C31" s="10">
        <f>SUM(C24+C29)</f>
        <v>13322</v>
      </c>
      <c r="D31" s="10">
        <f t="shared" ref="D31:I31" si="3">SUM(D24+D29)</f>
        <v>11639.64</v>
      </c>
      <c r="E31" s="10">
        <f t="shared" si="3"/>
        <v>13322</v>
      </c>
      <c r="F31" s="10">
        <f t="shared" si="3"/>
        <v>7446.29</v>
      </c>
      <c r="G31" s="10">
        <f t="shared" si="3"/>
        <v>15302</v>
      </c>
      <c r="H31" s="10">
        <f t="shared" si="3"/>
        <v>7044.0400000000009</v>
      </c>
      <c r="I31" s="10">
        <f t="shared" si="3"/>
        <v>15302</v>
      </c>
    </row>
  </sheetData>
  <mergeCells count="9">
    <mergeCell ref="C18:D18"/>
    <mergeCell ref="E18:F18"/>
    <mergeCell ref="G18:H18"/>
    <mergeCell ref="A1:J1"/>
    <mergeCell ref="A2:J2"/>
    <mergeCell ref="A3:J3"/>
    <mergeCell ref="C5:D5"/>
    <mergeCell ref="E5:F5"/>
    <mergeCell ref="G5:H5"/>
  </mergeCells>
  <pageMargins left="0.7" right="0.7" top="0.75" bottom="0.75" header="0.3" footer="0.3"/>
  <pageSetup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C85-74CE-49A0-A032-DE49D609E619}">
  <sheetPr>
    <pageSetUpPr fitToPage="1"/>
  </sheetPr>
  <dimension ref="A1:J29"/>
  <sheetViews>
    <sheetView workbookViewId="0">
      <selection activeCell="E16" sqref="E15:E16"/>
    </sheetView>
  </sheetViews>
  <sheetFormatPr defaultRowHeight="15" x14ac:dyDescent="0.25"/>
  <cols>
    <col min="2" max="2" width="22.85546875" bestFit="1" customWidth="1"/>
    <col min="3" max="8" width="12.140625" style="4" bestFit="1" customWidth="1"/>
    <col min="9" max="9" width="11.5703125" style="4" bestFit="1" customWidth="1"/>
  </cols>
  <sheetData>
    <row r="1" spans="1:10" ht="15.75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.75" x14ac:dyDescent="0.25">
      <c r="A2" s="26" t="s">
        <v>43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D4" s="5"/>
    </row>
    <row r="5" spans="1:10" x14ac:dyDescent="0.25">
      <c r="A5" s="3"/>
      <c r="B5" s="3"/>
      <c r="C5" s="25">
        <v>2022</v>
      </c>
      <c r="D5" s="25"/>
      <c r="E5" s="25">
        <v>2023</v>
      </c>
      <c r="F5" s="25"/>
      <c r="G5" s="25">
        <v>2024</v>
      </c>
      <c r="H5" s="25"/>
      <c r="I5" s="8">
        <v>2025</v>
      </c>
    </row>
    <row r="6" spans="1:10" s="2" customFormat="1" x14ac:dyDescent="0.25">
      <c r="A6" s="3" t="s">
        <v>0</v>
      </c>
      <c r="B6" s="3" t="s">
        <v>1</v>
      </c>
      <c r="C6" s="6" t="s">
        <v>2</v>
      </c>
      <c r="D6" s="6" t="s">
        <v>3</v>
      </c>
      <c r="E6" s="6" t="s">
        <v>2</v>
      </c>
      <c r="F6" s="6" t="s">
        <v>3</v>
      </c>
      <c r="G6" s="6" t="s">
        <v>2</v>
      </c>
      <c r="H6" s="6" t="s">
        <v>4</v>
      </c>
      <c r="I6" s="6" t="s">
        <v>5</v>
      </c>
      <c r="J6"/>
    </row>
    <row r="7" spans="1:10" x14ac:dyDescent="0.25">
      <c r="A7" s="1"/>
      <c r="B7" s="3" t="s">
        <v>6</v>
      </c>
      <c r="C7" s="7"/>
      <c r="D7" s="7"/>
      <c r="E7" s="7"/>
      <c r="F7" s="7"/>
      <c r="G7" s="7"/>
      <c r="H7" s="7"/>
      <c r="I7" s="7"/>
    </row>
    <row r="8" spans="1:10" x14ac:dyDescent="0.25">
      <c r="A8" t="s">
        <v>44</v>
      </c>
      <c r="B8" s="12" t="s">
        <v>15</v>
      </c>
      <c r="C8" s="4">
        <v>16990</v>
      </c>
      <c r="D8" s="4">
        <v>16990</v>
      </c>
      <c r="E8" s="4">
        <v>16990</v>
      </c>
      <c r="F8" s="4">
        <v>16990</v>
      </c>
      <c r="G8" s="4">
        <v>16990</v>
      </c>
      <c r="H8" s="4">
        <v>16990</v>
      </c>
      <c r="I8" s="4">
        <v>16990</v>
      </c>
    </row>
    <row r="9" spans="1:10" x14ac:dyDescent="0.25">
      <c r="A9" t="s">
        <v>45</v>
      </c>
      <c r="B9" s="12" t="s">
        <v>14</v>
      </c>
      <c r="C9" s="4">
        <v>100</v>
      </c>
      <c r="D9" s="4">
        <v>854.73</v>
      </c>
      <c r="E9" s="4">
        <v>100</v>
      </c>
      <c r="F9" s="16">
        <v>3258.57</v>
      </c>
      <c r="G9" s="4">
        <v>2000</v>
      </c>
      <c r="H9" s="16">
        <v>2127.64</v>
      </c>
      <c r="I9" s="4">
        <v>2000</v>
      </c>
    </row>
    <row r="10" spans="1:10" x14ac:dyDescent="0.25">
      <c r="A10" s="2"/>
      <c r="B10" s="9" t="s">
        <v>7</v>
      </c>
      <c r="C10" s="10">
        <f>SUM(C8:C9)</f>
        <v>17090</v>
      </c>
      <c r="D10" s="10">
        <f t="shared" ref="D10:I10" si="0">SUM(D8:D9)</f>
        <v>17844.73</v>
      </c>
      <c r="E10" s="10">
        <f t="shared" si="0"/>
        <v>17090</v>
      </c>
      <c r="F10" s="10">
        <f t="shared" si="0"/>
        <v>20248.57</v>
      </c>
      <c r="G10" s="10">
        <f t="shared" si="0"/>
        <v>18990</v>
      </c>
      <c r="H10" s="10">
        <f t="shared" si="0"/>
        <v>19117.64</v>
      </c>
      <c r="I10" s="10">
        <f t="shared" si="0"/>
        <v>18990</v>
      </c>
      <c r="J10" s="2"/>
    </row>
    <row r="24" spans="1:9" x14ac:dyDescent="0.25">
      <c r="A24" s="3"/>
      <c r="B24" s="3"/>
      <c r="C24" s="25">
        <v>2022</v>
      </c>
      <c r="D24" s="25"/>
      <c r="E24" s="25">
        <v>2023</v>
      </c>
      <c r="F24" s="25"/>
      <c r="G24" s="25">
        <v>2024</v>
      </c>
      <c r="H24" s="25"/>
      <c r="I24" s="8">
        <v>2025</v>
      </c>
    </row>
    <row r="25" spans="1:9" x14ac:dyDescent="0.25">
      <c r="A25" s="3" t="s">
        <v>0</v>
      </c>
      <c r="B25" s="3" t="s">
        <v>1</v>
      </c>
      <c r="C25" s="6" t="s">
        <v>2</v>
      </c>
      <c r="D25" s="6" t="s">
        <v>3</v>
      </c>
      <c r="E25" s="6" t="s">
        <v>2</v>
      </c>
      <c r="F25" s="6" t="s">
        <v>3</v>
      </c>
      <c r="G25" s="6" t="s">
        <v>2</v>
      </c>
      <c r="H25" s="6" t="s">
        <v>4</v>
      </c>
      <c r="I25" s="6" t="s">
        <v>5</v>
      </c>
    </row>
    <row r="26" spans="1:9" x14ac:dyDescent="0.25">
      <c r="B26" s="3" t="s">
        <v>8</v>
      </c>
    </row>
    <row r="27" spans="1:9" x14ac:dyDescent="0.25">
      <c r="A27" t="s">
        <v>46</v>
      </c>
      <c r="B27" t="s">
        <v>47</v>
      </c>
      <c r="C27" s="4">
        <v>17090</v>
      </c>
      <c r="D27" s="4">
        <v>18955.23</v>
      </c>
      <c r="E27" s="4">
        <v>17090</v>
      </c>
      <c r="F27" s="16">
        <f>12024.52-25.45</f>
        <v>11999.07</v>
      </c>
      <c r="G27" s="4">
        <v>18990</v>
      </c>
      <c r="H27" s="4">
        <v>20104.64</v>
      </c>
      <c r="I27" s="4">
        <v>18990</v>
      </c>
    </row>
    <row r="28" spans="1:9" x14ac:dyDescent="0.25">
      <c r="B28" s="3"/>
      <c r="C28" s="13"/>
      <c r="D28" s="13"/>
      <c r="E28" s="13"/>
      <c r="F28" s="13"/>
      <c r="G28" s="13"/>
      <c r="H28" s="13"/>
      <c r="I28" s="13"/>
    </row>
    <row r="29" spans="1:9" x14ac:dyDescent="0.25">
      <c r="B29" s="11" t="s">
        <v>11</v>
      </c>
      <c r="C29" s="10">
        <f>SUM(C27)</f>
        <v>17090</v>
      </c>
      <c r="D29" s="10">
        <f t="shared" ref="D29:I29" si="1">SUM(D27)</f>
        <v>18955.23</v>
      </c>
      <c r="E29" s="10">
        <f t="shared" si="1"/>
        <v>17090</v>
      </c>
      <c r="F29" s="10">
        <f t="shared" si="1"/>
        <v>11999.07</v>
      </c>
      <c r="G29" s="10">
        <f t="shared" si="1"/>
        <v>18990</v>
      </c>
      <c r="H29" s="10">
        <f t="shared" si="1"/>
        <v>20104.64</v>
      </c>
      <c r="I29" s="10">
        <f t="shared" si="1"/>
        <v>18990</v>
      </c>
    </row>
  </sheetData>
  <mergeCells count="9">
    <mergeCell ref="C24:D24"/>
    <mergeCell ref="E24:F24"/>
    <mergeCell ref="G24:H24"/>
    <mergeCell ref="A1:J1"/>
    <mergeCell ref="A2:J2"/>
    <mergeCell ref="A3:J3"/>
    <mergeCell ref="C5:D5"/>
    <mergeCell ref="E5:F5"/>
    <mergeCell ref="G5:H5"/>
  </mergeCells>
  <pageMargins left="0.7" right="0.7" top="0.75" bottom="0.75" header="0.3" footer="0.3"/>
  <pageSetup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22FA-2E6C-4A30-8303-D5FC53623B04}">
  <sheetPr>
    <pageSetUpPr fitToPage="1"/>
  </sheetPr>
  <dimension ref="A1:J62"/>
  <sheetViews>
    <sheetView workbookViewId="0">
      <selection activeCell="L13" sqref="L13"/>
    </sheetView>
  </sheetViews>
  <sheetFormatPr defaultRowHeight="15" x14ac:dyDescent="0.25"/>
  <cols>
    <col min="2" max="2" width="30.42578125" customWidth="1"/>
    <col min="3" max="8" width="12.140625" style="4" bestFit="1" customWidth="1"/>
    <col min="9" max="9" width="11.5703125" style="4" bestFit="1" customWidth="1"/>
  </cols>
  <sheetData>
    <row r="1" spans="1:10" ht="15.75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50"/>
    </row>
    <row r="2" spans="1:10" ht="15.75" x14ac:dyDescent="0.25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50"/>
    </row>
    <row r="3" spans="1:10" ht="15.75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50"/>
    </row>
    <row r="4" spans="1:10" x14ac:dyDescent="0.25">
      <c r="D4" s="5"/>
    </row>
    <row r="5" spans="1:10" x14ac:dyDescent="0.25">
      <c r="A5" s="3"/>
      <c r="B5" s="3"/>
      <c r="C5" s="25">
        <v>2022</v>
      </c>
      <c r="D5" s="25"/>
      <c r="E5" s="25">
        <v>2023</v>
      </c>
      <c r="F5" s="25"/>
      <c r="G5" s="25">
        <v>2024</v>
      </c>
      <c r="H5" s="25"/>
      <c r="I5" s="8">
        <v>2025</v>
      </c>
    </row>
    <row r="6" spans="1:10" s="2" customFormat="1" x14ac:dyDescent="0.25">
      <c r="A6" s="3" t="s">
        <v>0</v>
      </c>
      <c r="B6" s="3" t="s">
        <v>1</v>
      </c>
      <c r="C6" s="6" t="s">
        <v>2</v>
      </c>
      <c r="D6" s="6" t="s">
        <v>3</v>
      </c>
      <c r="E6" s="6" t="s">
        <v>2</v>
      </c>
      <c r="F6" s="6" t="s">
        <v>3</v>
      </c>
      <c r="G6" s="6" t="s">
        <v>2</v>
      </c>
      <c r="H6" s="6" t="s">
        <v>4</v>
      </c>
      <c r="I6" s="6" t="s">
        <v>5</v>
      </c>
      <c r="J6"/>
    </row>
    <row r="7" spans="1:10" x14ac:dyDescent="0.25">
      <c r="A7" s="1"/>
      <c r="B7" s="3" t="s">
        <v>6</v>
      </c>
      <c r="C7" s="7"/>
      <c r="D7" s="7"/>
      <c r="E7" s="7"/>
      <c r="F7" s="7"/>
      <c r="G7" s="7"/>
      <c r="H7" s="7"/>
      <c r="I7" s="7"/>
    </row>
    <row r="8" spans="1:10" x14ac:dyDescent="0.25">
      <c r="A8" s="1" t="s">
        <v>54</v>
      </c>
      <c r="B8" s="12" t="s">
        <v>55</v>
      </c>
      <c r="C8" s="7">
        <v>0</v>
      </c>
      <c r="D8" s="7">
        <v>200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spans="1:10" x14ac:dyDescent="0.25">
      <c r="A9" s="1" t="s">
        <v>49</v>
      </c>
      <c r="B9" s="12" t="s">
        <v>51</v>
      </c>
      <c r="C9" s="7">
        <v>1400</v>
      </c>
      <c r="D9" s="7">
        <v>1300</v>
      </c>
      <c r="E9" s="7">
        <v>1400</v>
      </c>
      <c r="F9" s="7">
        <v>1100</v>
      </c>
      <c r="G9" s="7">
        <v>1400</v>
      </c>
      <c r="H9" s="7">
        <f>500+800</f>
        <v>1300</v>
      </c>
      <c r="I9" s="7">
        <v>1400</v>
      </c>
    </row>
    <row r="10" spans="1:10" x14ac:dyDescent="0.25">
      <c r="A10" s="1" t="s">
        <v>50</v>
      </c>
      <c r="B10" s="12" t="s">
        <v>52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10" x14ac:dyDescent="0.25">
      <c r="A11" s="1"/>
      <c r="B11" s="33" t="s">
        <v>53</v>
      </c>
      <c r="C11" s="17">
        <f>SUM(C8:C10)</f>
        <v>1400</v>
      </c>
      <c r="D11" s="17">
        <f t="shared" ref="D11:I11" si="0">SUM(D8:D10)</f>
        <v>1500</v>
      </c>
      <c r="E11" s="17">
        <f t="shared" si="0"/>
        <v>1400</v>
      </c>
      <c r="F11" s="17">
        <f t="shared" si="0"/>
        <v>1100</v>
      </c>
      <c r="G11" s="17">
        <f t="shared" si="0"/>
        <v>1400</v>
      </c>
      <c r="H11" s="17">
        <f t="shared" si="0"/>
        <v>1300</v>
      </c>
      <c r="I11" s="17">
        <f t="shared" si="0"/>
        <v>1400</v>
      </c>
    </row>
    <row r="12" spans="1:10" x14ac:dyDescent="0.25">
      <c r="A12" s="1"/>
      <c r="B12" s="23"/>
      <c r="C12" s="18"/>
      <c r="D12" s="18"/>
      <c r="E12" s="18"/>
      <c r="F12" s="18"/>
      <c r="G12" s="18"/>
      <c r="H12" s="18"/>
      <c r="I12" s="18"/>
    </row>
    <row r="13" spans="1:10" x14ac:dyDescent="0.25">
      <c r="A13" t="s">
        <v>45</v>
      </c>
      <c r="B13" s="12" t="s">
        <v>14</v>
      </c>
      <c r="C13" s="4">
        <v>30</v>
      </c>
      <c r="D13" s="4">
        <v>77.069999999999993</v>
      </c>
      <c r="E13" s="4">
        <v>30</v>
      </c>
      <c r="F13" s="16">
        <v>293.79000000000002</v>
      </c>
      <c r="G13" s="4">
        <v>200</v>
      </c>
      <c r="H13" s="16">
        <v>172.89</v>
      </c>
      <c r="I13" s="4">
        <v>200</v>
      </c>
    </row>
    <row r="14" spans="1:10" x14ac:dyDescent="0.25">
      <c r="A14" s="2"/>
      <c r="B14" s="33" t="s">
        <v>7</v>
      </c>
      <c r="C14" s="10">
        <f>C11+C13</f>
        <v>1430</v>
      </c>
      <c r="D14" s="10">
        <f t="shared" ref="D14:I14" si="1">D11+D13</f>
        <v>1577.07</v>
      </c>
      <c r="E14" s="10">
        <f t="shared" si="1"/>
        <v>1430</v>
      </c>
      <c r="F14" s="10">
        <f t="shared" si="1"/>
        <v>1393.79</v>
      </c>
      <c r="G14" s="10">
        <f t="shared" si="1"/>
        <v>1600</v>
      </c>
      <c r="H14" s="10">
        <f t="shared" si="1"/>
        <v>1472.8899999999999</v>
      </c>
      <c r="I14" s="10">
        <f t="shared" si="1"/>
        <v>1600</v>
      </c>
    </row>
    <row r="15" spans="1:10" x14ac:dyDescent="0.25">
      <c r="A15" s="1"/>
      <c r="B15" s="3"/>
      <c r="C15" s="18"/>
      <c r="D15" s="18"/>
      <c r="E15" s="18"/>
      <c r="F15" s="18"/>
      <c r="G15" s="18"/>
      <c r="H15" s="18"/>
      <c r="I15" s="18"/>
    </row>
    <row r="36" spans="1:10" ht="15.75" x14ac:dyDescent="0.25">
      <c r="A36" s="26" t="s">
        <v>30</v>
      </c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5.75" x14ac:dyDescent="0.25">
      <c r="A37" s="26" t="s">
        <v>48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5.75" x14ac:dyDescent="0.25">
      <c r="A38" s="26" t="s">
        <v>32</v>
      </c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5.75" x14ac:dyDescent="0.25">
      <c r="A39" s="3"/>
      <c r="B39" s="3"/>
      <c r="C39" s="25">
        <v>2022</v>
      </c>
      <c r="D39" s="25"/>
      <c r="E39" s="25">
        <v>2023</v>
      </c>
      <c r="F39" s="25"/>
      <c r="G39" s="25">
        <v>2024</v>
      </c>
      <c r="H39" s="25"/>
      <c r="I39" s="8">
        <v>2025</v>
      </c>
      <c r="J39" s="15"/>
    </row>
    <row r="40" spans="1:10" ht="15.75" x14ac:dyDescent="0.25">
      <c r="A40" s="3" t="s">
        <v>0</v>
      </c>
      <c r="B40" s="3" t="s">
        <v>1</v>
      </c>
      <c r="C40" s="6" t="s">
        <v>2</v>
      </c>
      <c r="D40" s="6" t="s">
        <v>3</v>
      </c>
      <c r="E40" s="6" t="s">
        <v>2</v>
      </c>
      <c r="F40" s="6" t="s">
        <v>3</v>
      </c>
      <c r="G40" s="6" t="s">
        <v>2</v>
      </c>
      <c r="H40" s="6" t="s">
        <v>4</v>
      </c>
      <c r="I40" s="6" t="s">
        <v>5</v>
      </c>
      <c r="J40" s="15"/>
    </row>
    <row r="41" spans="1:10" x14ac:dyDescent="0.25">
      <c r="A41" t="s">
        <v>56</v>
      </c>
      <c r="B41" t="s">
        <v>58</v>
      </c>
      <c r="C41" s="4">
        <v>0</v>
      </c>
      <c r="D41" s="4">
        <v>0</v>
      </c>
      <c r="E41" s="4">
        <v>0</v>
      </c>
      <c r="F41" s="16">
        <v>0</v>
      </c>
      <c r="G41" s="4">
        <v>0</v>
      </c>
      <c r="H41" s="4">
        <v>0</v>
      </c>
      <c r="I41" s="4">
        <v>0</v>
      </c>
    </row>
    <row r="42" spans="1:10" x14ac:dyDescent="0.25">
      <c r="A42" t="s">
        <v>57</v>
      </c>
      <c r="B42" t="s">
        <v>59</v>
      </c>
      <c r="C42" s="4">
        <v>300</v>
      </c>
      <c r="D42" s="4">
        <v>225.72</v>
      </c>
      <c r="E42" s="4">
        <v>300</v>
      </c>
      <c r="F42" s="16">
        <v>226.8</v>
      </c>
      <c r="G42" s="4">
        <v>300</v>
      </c>
      <c r="H42" s="4">
        <v>225</v>
      </c>
      <c r="I42" s="4">
        <v>300</v>
      </c>
    </row>
    <row r="43" spans="1:10" x14ac:dyDescent="0.25">
      <c r="B43" s="11" t="s">
        <v>60</v>
      </c>
      <c r="C43" s="10">
        <f>SUM(C41:C42)</f>
        <v>300</v>
      </c>
      <c r="D43" s="10">
        <f t="shared" ref="D43:I43" si="2">SUM(D41:D42)</f>
        <v>225.72</v>
      </c>
      <c r="E43" s="10">
        <f t="shared" si="2"/>
        <v>300</v>
      </c>
      <c r="F43" s="10">
        <f t="shared" si="2"/>
        <v>226.8</v>
      </c>
      <c r="G43" s="10">
        <f t="shared" si="2"/>
        <v>300</v>
      </c>
      <c r="H43" s="10">
        <f t="shared" si="2"/>
        <v>225</v>
      </c>
      <c r="I43" s="10">
        <f t="shared" si="2"/>
        <v>300</v>
      </c>
    </row>
    <row r="44" spans="1:10" x14ac:dyDescent="0.25">
      <c r="F44" s="16"/>
    </row>
    <row r="45" spans="1:10" x14ac:dyDescent="0.25">
      <c r="A45" t="s">
        <v>61</v>
      </c>
      <c r="B45" t="s">
        <v>63</v>
      </c>
      <c r="C45" s="4">
        <v>100</v>
      </c>
      <c r="D45" s="4">
        <v>0</v>
      </c>
      <c r="E45" s="4">
        <v>100</v>
      </c>
      <c r="F45" s="16">
        <v>0</v>
      </c>
      <c r="G45" s="4">
        <v>100</v>
      </c>
      <c r="H45" s="4">
        <v>25</v>
      </c>
      <c r="I45" s="4">
        <v>100</v>
      </c>
    </row>
    <row r="46" spans="1:10" x14ac:dyDescent="0.25">
      <c r="A46" t="s">
        <v>62</v>
      </c>
      <c r="B46" t="s">
        <v>64</v>
      </c>
      <c r="C46" s="4">
        <v>270</v>
      </c>
      <c r="D46" s="4">
        <v>225.72</v>
      </c>
      <c r="E46" s="4">
        <v>270</v>
      </c>
      <c r="F46" s="16">
        <v>0</v>
      </c>
      <c r="G46" s="4">
        <v>270</v>
      </c>
      <c r="H46" s="4">
        <v>0</v>
      </c>
      <c r="I46" s="4">
        <v>270</v>
      </c>
    </row>
    <row r="47" spans="1:10" x14ac:dyDescent="0.25">
      <c r="B47" s="11" t="s">
        <v>65</v>
      </c>
      <c r="C47" s="10">
        <f>SUM(C45:C46)</f>
        <v>370</v>
      </c>
      <c r="D47" s="10">
        <f t="shared" ref="D47:I47" si="3">SUM(D45:D46)</f>
        <v>225.72</v>
      </c>
      <c r="E47" s="10">
        <f t="shared" si="3"/>
        <v>370</v>
      </c>
      <c r="F47" s="10">
        <f t="shared" si="3"/>
        <v>0</v>
      </c>
      <c r="G47" s="10">
        <f t="shared" si="3"/>
        <v>370</v>
      </c>
      <c r="H47" s="10">
        <f t="shared" si="3"/>
        <v>25</v>
      </c>
      <c r="I47" s="10">
        <f t="shared" si="3"/>
        <v>370</v>
      </c>
    </row>
    <row r="48" spans="1:10" x14ac:dyDescent="0.25">
      <c r="F48" s="16"/>
    </row>
    <row r="49" spans="1:9" x14ac:dyDescent="0.25">
      <c r="A49" t="s">
        <v>66</v>
      </c>
      <c r="B49" t="s">
        <v>67</v>
      </c>
      <c r="C49" s="4">
        <v>375</v>
      </c>
      <c r="D49" s="4">
        <v>640</v>
      </c>
      <c r="E49" s="4">
        <v>375</v>
      </c>
      <c r="F49" s="16">
        <v>1469.8</v>
      </c>
      <c r="G49" s="4">
        <v>545</v>
      </c>
      <c r="H49" s="4">
        <v>860</v>
      </c>
      <c r="I49" s="4">
        <v>545</v>
      </c>
    </row>
    <row r="50" spans="1:9" x14ac:dyDescent="0.25">
      <c r="B50" s="11" t="s">
        <v>68</v>
      </c>
      <c r="C50" s="10">
        <f>SUM(C49)</f>
        <v>375</v>
      </c>
      <c r="D50" s="10">
        <f t="shared" ref="D50:I50" si="4">SUM(D49)</f>
        <v>640</v>
      </c>
      <c r="E50" s="10">
        <f t="shared" si="4"/>
        <v>375</v>
      </c>
      <c r="F50" s="10">
        <f t="shared" si="4"/>
        <v>1469.8</v>
      </c>
      <c r="G50" s="10">
        <f t="shared" si="4"/>
        <v>545</v>
      </c>
      <c r="H50" s="10">
        <f t="shared" si="4"/>
        <v>860</v>
      </c>
      <c r="I50" s="10">
        <f t="shared" si="4"/>
        <v>545</v>
      </c>
    </row>
    <row r="51" spans="1:9" x14ac:dyDescent="0.25">
      <c r="F51" s="16"/>
    </row>
    <row r="52" spans="1:9" x14ac:dyDescent="0.25">
      <c r="A52" t="s">
        <v>69</v>
      </c>
      <c r="B52" t="s">
        <v>71</v>
      </c>
      <c r="C52" s="4">
        <v>0</v>
      </c>
      <c r="D52" s="4">
        <v>0</v>
      </c>
      <c r="E52" s="4">
        <v>0</v>
      </c>
      <c r="F52" s="16">
        <v>0</v>
      </c>
      <c r="G52" s="4">
        <v>0</v>
      </c>
      <c r="H52" s="4">
        <v>0</v>
      </c>
      <c r="I52" s="4">
        <v>0</v>
      </c>
    </row>
    <row r="53" spans="1:9" x14ac:dyDescent="0.25">
      <c r="A53" t="s">
        <v>70</v>
      </c>
      <c r="B53" t="s">
        <v>72</v>
      </c>
      <c r="C53" s="4">
        <v>330</v>
      </c>
      <c r="D53" s="4">
        <v>0</v>
      </c>
      <c r="E53" s="4">
        <v>330</v>
      </c>
      <c r="F53" s="16">
        <v>0</v>
      </c>
      <c r="G53" s="4">
        <v>330</v>
      </c>
      <c r="H53" s="4">
        <v>0</v>
      </c>
      <c r="I53" s="4">
        <v>330</v>
      </c>
    </row>
    <row r="54" spans="1:9" x14ac:dyDescent="0.25">
      <c r="B54" s="11" t="s">
        <v>73</v>
      </c>
      <c r="C54" s="10">
        <f>SUM(C52:C53)</f>
        <v>330</v>
      </c>
      <c r="D54" s="10">
        <f t="shared" ref="D54:I54" si="5">SUM(D52:D53)</f>
        <v>0</v>
      </c>
      <c r="E54" s="10">
        <f t="shared" si="5"/>
        <v>330</v>
      </c>
      <c r="F54" s="10">
        <f t="shared" si="5"/>
        <v>0</v>
      </c>
      <c r="G54" s="10">
        <f t="shared" si="5"/>
        <v>330</v>
      </c>
      <c r="H54" s="10">
        <f t="shared" si="5"/>
        <v>0</v>
      </c>
      <c r="I54" s="10">
        <f t="shared" si="5"/>
        <v>330</v>
      </c>
    </row>
    <row r="55" spans="1:9" x14ac:dyDescent="0.25">
      <c r="B55" s="11" t="s">
        <v>74</v>
      </c>
      <c r="C55" s="10">
        <f>SUM(C43+C47+C50+C54)</f>
        <v>1375</v>
      </c>
      <c r="D55" s="10">
        <f t="shared" ref="D55:I55" si="6">SUM(D43+D47+D50+D54)</f>
        <v>1091.44</v>
      </c>
      <c r="E55" s="10">
        <f t="shared" si="6"/>
        <v>1375</v>
      </c>
      <c r="F55" s="10">
        <f t="shared" si="6"/>
        <v>1696.6</v>
      </c>
      <c r="G55" s="10">
        <f t="shared" si="6"/>
        <v>1545</v>
      </c>
      <c r="H55" s="10">
        <f t="shared" si="6"/>
        <v>1110</v>
      </c>
      <c r="I55" s="10">
        <f t="shared" si="6"/>
        <v>1545</v>
      </c>
    </row>
    <row r="56" spans="1:9" x14ac:dyDescent="0.25">
      <c r="F56" s="16"/>
    </row>
    <row r="57" spans="1:9" x14ac:dyDescent="0.25">
      <c r="A57" t="s">
        <v>75</v>
      </c>
      <c r="B57" t="s">
        <v>22</v>
      </c>
      <c r="C57" s="4">
        <v>0</v>
      </c>
      <c r="D57" s="4">
        <v>0</v>
      </c>
      <c r="E57" s="4">
        <v>0</v>
      </c>
      <c r="F57" s="16">
        <v>0</v>
      </c>
      <c r="G57" s="4">
        <v>0</v>
      </c>
      <c r="H57" s="4">
        <v>0</v>
      </c>
      <c r="I57" s="4">
        <v>0</v>
      </c>
    </row>
    <row r="58" spans="1:9" x14ac:dyDescent="0.25">
      <c r="A58" t="s">
        <v>76</v>
      </c>
      <c r="B58" t="s">
        <v>24</v>
      </c>
      <c r="C58" s="4">
        <v>50</v>
      </c>
      <c r="D58" s="4">
        <v>0</v>
      </c>
      <c r="E58" s="4">
        <v>50</v>
      </c>
      <c r="F58" s="16">
        <v>0</v>
      </c>
      <c r="G58" s="4">
        <v>50</v>
      </c>
      <c r="H58" s="4">
        <v>1.91</v>
      </c>
      <c r="I58" s="4">
        <v>50</v>
      </c>
    </row>
    <row r="59" spans="1:9" x14ac:dyDescent="0.25">
      <c r="A59" t="s">
        <v>77</v>
      </c>
      <c r="B59" t="s">
        <v>79</v>
      </c>
      <c r="C59" s="4">
        <v>0</v>
      </c>
      <c r="D59" s="4">
        <v>0</v>
      </c>
      <c r="E59" s="4">
        <v>0</v>
      </c>
      <c r="F59" s="16">
        <v>0</v>
      </c>
      <c r="G59" s="4">
        <v>0</v>
      </c>
      <c r="H59" s="4">
        <v>0</v>
      </c>
      <c r="I59" s="4">
        <v>0</v>
      </c>
    </row>
    <row r="60" spans="1:9" x14ac:dyDescent="0.25">
      <c r="A60" t="s">
        <v>78</v>
      </c>
      <c r="B60" t="s">
        <v>26</v>
      </c>
      <c r="C60" s="4">
        <v>5</v>
      </c>
      <c r="D60" s="4">
        <v>0</v>
      </c>
      <c r="E60" s="4">
        <v>5</v>
      </c>
      <c r="F60" s="16">
        <v>0</v>
      </c>
      <c r="G60" s="4">
        <v>5</v>
      </c>
      <c r="H60" s="4">
        <v>1.91</v>
      </c>
      <c r="I60" s="4">
        <v>5</v>
      </c>
    </row>
    <row r="61" spans="1:9" x14ac:dyDescent="0.25">
      <c r="B61" s="11" t="s">
        <v>27</v>
      </c>
      <c r="C61" s="10">
        <f>SUM(C57:C60)</f>
        <v>55</v>
      </c>
      <c r="D61" s="10">
        <f t="shared" ref="D61:I61" si="7">SUM(D57:D60)</f>
        <v>0</v>
      </c>
      <c r="E61" s="10">
        <f t="shared" si="7"/>
        <v>55</v>
      </c>
      <c r="F61" s="10">
        <f t="shared" si="7"/>
        <v>0</v>
      </c>
      <c r="G61" s="10">
        <f t="shared" si="7"/>
        <v>55</v>
      </c>
      <c r="H61" s="10">
        <f t="shared" si="7"/>
        <v>3.82</v>
      </c>
      <c r="I61" s="10">
        <f t="shared" si="7"/>
        <v>55</v>
      </c>
    </row>
    <row r="62" spans="1:9" x14ac:dyDescent="0.25">
      <c r="B62" s="11" t="s">
        <v>11</v>
      </c>
      <c r="C62" s="10">
        <f>C55+C61</f>
        <v>1430</v>
      </c>
      <c r="D62" s="10">
        <f t="shared" ref="D62:I62" si="8">D55+D61</f>
        <v>1091.44</v>
      </c>
      <c r="E62" s="10">
        <f t="shared" si="8"/>
        <v>1430</v>
      </c>
      <c r="F62" s="10">
        <f t="shared" si="8"/>
        <v>1696.6</v>
      </c>
      <c r="G62" s="10">
        <f t="shared" si="8"/>
        <v>1600</v>
      </c>
      <c r="H62" s="10">
        <f t="shared" si="8"/>
        <v>1113.82</v>
      </c>
      <c r="I62" s="10">
        <f t="shared" si="8"/>
        <v>1600</v>
      </c>
    </row>
  </sheetData>
  <mergeCells count="12">
    <mergeCell ref="C39:D39"/>
    <mergeCell ref="E39:F39"/>
    <mergeCell ref="G39:H39"/>
    <mergeCell ref="A1:I1"/>
    <mergeCell ref="A2:I2"/>
    <mergeCell ref="A3:I3"/>
    <mergeCell ref="A36:J36"/>
    <mergeCell ref="A37:J37"/>
    <mergeCell ref="A38:J38"/>
    <mergeCell ref="C5:D5"/>
    <mergeCell ref="E5:F5"/>
    <mergeCell ref="G5:H5"/>
  </mergeCells>
  <pageMargins left="0.7" right="0.7" top="0.75" bottom="0.75" header="0.3" footer="0.3"/>
  <pageSetup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49EC7-5F78-4682-8EF0-2C9CC71DAA11}">
  <sheetPr>
    <pageSetUpPr fitToPage="1"/>
  </sheetPr>
  <dimension ref="A1:S93"/>
  <sheetViews>
    <sheetView topLeftCell="A48" workbookViewId="0">
      <selection activeCell="A57" sqref="A57:I57"/>
    </sheetView>
  </sheetViews>
  <sheetFormatPr defaultRowHeight="15" x14ac:dyDescent="0.25"/>
  <cols>
    <col min="2" max="2" width="29" customWidth="1"/>
    <col min="3" max="9" width="12.5703125" style="4" bestFit="1" customWidth="1"/>
  </cols>
  <sheetData>
    <row r="1" spans="1:19" ht="15.75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50"/>
    </row>
    <row r="2" spans="1:19" ht="15.75" x14ac:dyDescent="0.25">
      <c r="A2" s="26" t="s">
        <v>80</v>
      </c>
      <c r="B2" s="26"/>
      <c r="C2" s="26"/>
      <c r="D2" s="26"/>
      <c r="E2" s="26"/>
      <c r="F2" s="26"/>
      <c r="G2" s="26"/>
      <c r="H2" s="26"/>
      <c r="I2" s="26"/>
      <c r="J2" s="50"/>
    </row>
    <row r="3" spans="1:19" ht="15.75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50"/>
    </row>
    <row r="4" spans="1:19" x14ac:dyDescent="0.25">
      <c r="D4" s="5"/>
      <c r="L4" s="4"/>
      <c r="M4" s="5"/>
      <c r="N4" s="4"/>
      <c r="O4" s="4"/>
      <c r="P4" s="4"/>
      <c r="Q4" s="4"/>
      <c r="R4" s="4"/>
    </row>
    <row r="5" spans="1:19" x14ac:dyDescent="0.25">
      <c r="A5" s="3"/>
      <c r="B5" s="3"/>
      <c r="C5" s="25">
        <v>2022</v>
      </c>
      <c r="D5" s="25"/>
      <c r="E5" s="25">
        <v>2023</v>
      </c>
      <c r="F5" s="25"/>
      <c r="G5" s="25">
        <v>2024</v>
      </c>
      <c r="H5" s="25"/>
      <c r="I5" s="8">
        <v>2025</v>
      </c>
      <c r="J5" s="3"/>
      <c r="K5" s="3"/>
      <c r="L5" s="25"/>
      <c r="M5" s="25"/>
      <c r="N5" s="25"/>
      <c r="O5" s="25"/>
      <c r="P5" s="25"/>
      <c r="Q5" s="25"/>
      <c r="R5" s="8"/>
    </row>
    <row r="6" spans="1:19" s="2" customFormat="1" x14ac:dyDescent="0.25">
      <c r="A6" s="3" t="s">
        <v>0</v>
      </c>
      <c r="B6" s="3" t="s">
        <v>1</v>
      </c>
      <c r="C6" s="6" t="s">
        <v>2</v>
      </c>
      <c r="D6" s="6" t="s">
        <v>3</v>
      </c>
      <c r="E6" s="6" t="s">
        <v>2</v>
      </c>
      <c r="F6" s="6" t="s">
        <v>3</v>
      </c>
      <c r="G6" s="6" t="s">
        <v>2</v>
      </c>
      <c r="H6" s="6" t="s">
        <v>4</v>
      </c>
      <c r="I6" s="6" t="s">
        <v>5</v>
      </c>
      <c r="J6" s="3"/>
      <c r="K6" s="3"/>
      <c r="L6" s="6"/>
      <c r="M6" s="6"/>
      <c r="N6" s="6"/>
      <c r="O6" s="6"/>
      <c r="P6" s="6"/>
      <c r="Q6" s="6"/>
      <c r="R6" s="6"/>
      <c r="S6"/>
    </row>
    <row r="7" spans="1:19" x14ac:dyDescent="0.25">
      <c r="A7" s="1"/>
      <c r="B7" s="3" t="s">
        <v>6</v>
      </c>
      <c r="C7" s="7"/>
      <c r="D7" s="7"/>
      <c r="E7" s="7"/>
      <c r="F7" s="7"/>
      <c r="G7" s="7"/>
      <c r="H7" s="7"/>
      <c r="I7" s="7"/>
    </row>
    <row r="8" spans="1:19" x14ac:dyDescent="0.25">
      <c r="A8" s="12" t="s">
        <v>81</v>
      </c>
      <c r="B8" s="1" t="s">
        <v>15</v>
      </c>
      <c r="C8" s="7">
        <v>9000</v>
      </c>
      <c r="D8" s="7">
        <v>9000</v>
      </c>
      <c r="E8" s="7">
        <v>9000</v>
      </c>
      <c r="F8" s="7">
        <v>9000</v>
      </c>
      <c r="G8" s="7">
        <v>9000</v>
      </c>
      <c r="H8" s="7">
        <v>9000</v>
      </c>
      <c r="I8" s="7">
        <v>9000</v>
      </c>
    </row>
    <row r="9" spans="1:19" x14ac:dyDescent="0.25">
      <c r="A9" s="12" t="s">
        <v>82</v>
      </c>
      <c r="B9" s="1" t="s">
        <v>83</v>
      </c>
      <c r="C9" s="7">
        <v>85057</v>
      </c>
      <c r="D9" s="7">
        <v>72975</v>
      </c>
      <c r="E9" s="7">
        <v>85057</v>
      </c>
      <c r="F9" s="7">
        <f>67500-75</f>
        <v>67425</v>
      </c>
      <c r="G9" s="7">
        <v>88505</v>
      </c>
      <c r="H9" s="28">
        <v>88505</v>
      </c>
      <c r="I9" s="7">
        <v>0</v>
      </c>
    </row>
    <row r="10" spans="1:19" x14ac:dyDescent="0.25">
      <c r="A10" s="12" t="s">
        <v>54</v>
      </c>
      <c r="B10" s="1" t="s">
        <v>55</v>
      </c>
      <c r="C10" s="7">
        <v>20102</v>
      </c>
      <c r="D10" s="7">
        <v>20102</v>
      </c>
      <c r="E10" s="7">
        <v>19971</v>
      </c>
      <c r="F10" s="7">
        <v>19971</v>
      </c>
      <c r="G10" s="7">
        <v>0</v>
      </c>
      <c r="H10" s="7">
        <v>33376.9</v>
      </c>
      <c r="I10" s="7">
        <v>0</v>
      </c>
    </row>
    <row r="11" spans="1:19" x14ac:dyDescent="0.25">
      <c r="A11" s="12"/>
      <c r="B11" s="19" t="s">
        <v>84</v>
      </c>
      <c r="C11" s="20">
        <f>SUM(C8:C10)</f>
        <v>114159</v>
      </c>
      <c r="D11" s="20">
        <f t="shared" ref="D11:I11" si="0">SUM(D8:D10)</f>
        <v>102077</v>
      </c>
      <c r="E11" s="20">
        <f t="shared" si="0"/>
        <v>114028</v>
      </c>
      <c r="F11" s="20">
        <f t="shared" si="0"/>
        <v>96396</v>
      </c>
      <c r="G11" s="20">
        <f t="shared" si="0"/>
        <v>97505</v>
      </c>
      <c r="H11" s="20">
        <f t="shared" si="0"/>
        <v>130881.9</v>
      </c>
      <c r="I11" s="20">
        <f t="shared" si="0"/>
        <v>9000</v>
      </c>
    </row>
    <row r="12" spans="1:19" x14ac:dyDescent="0.25">
      <c r="A12" s="12"/>
      <c r="C12" s="7"/>
      <c r="D12" s="7"/>
      <c r="E12" s="7"/>
      <c r="F12" s="7"/>
      <c r="G12" s="7"/>
      <c r="H12" s="7"/>
      <c r="I12" s="7"/>
    </row>
    <row r="13" spans="1:19" x14ac:dyDescent="0.25">
      <c r="A13" s="12" t="s">
        <v>88</v>
      </c>
      <c r="B13" s="1" t="s">
        <v>51</v>
      </c>
      <c r="C13" s="7">
        <v>52000</v>
      </c>
      <c r="D13" s="7">
        <v>76031.3</v>
      </c>
      <c r="E13" s="7">
        <v>60000</v>
      </c>
      <c r="F13" s="7">
        <f>180974.665-97694.95</f>
        <v>83279.715000000011</v>
      </c>
      <c r="G13" s="7">
        <v>80000</v>
      </c>
      <c r="H13" s="7">
        <f>8276.3+24189.1+176</f>
        <v>32641.399999999998</v>
      </c>
      <c r="I13" s="7">
        <v>80000</v>
      </c>
    </row>
    <row r="14" spans="1:19" x14ac:dyDescent="0.25">
      <c r="A14" s="12" t="s">
        <v>50</v>
      </c>
      <c r="B14" s="1" t="s">
        <v>52</v>
      </c>
      <c r="C14" s="7">
        <v>1500</v>
      </c>
      <c r="D14" s="7">
        <v>45</v>
      </c>
      <c r="E14" s="7">
        <v>1500</v>
      </c>
      <c r="F14" s="7">
        <v>180</v>
      </c>
      <c r="G14" s="7">
        <v>15000</v>
      </c>
      <c r="H14" s="28">
        <f>13600+41050+300</f>
        <v>54950</v>
      </c>
      <c r="I14" s="7">
        <v>15000</v>
      </c>
    </row>
    <row r="15" spans="1:19" x14ac:dyDescent="0.25">
      <c r="A15" s="12"/>
      <c r="B15" s="9" t="s">
        <v>53</v>
      </c>
      <c r="C15" s="17">
        <f>SUM(C12:C14)</f>
        <v>53500</v>
      </c>
      <c r="D15" s="17">
        <f t="shared" ref="D15:I15" si="1">SUM(D12:D14)</f>
        <v>76076.3</v>
      </c>
      <c r="E15" s="17">
        <f t="shared" si="1"/>
        <v>61500</v>
      </c>
      <c r="F15" s="17">
        <f t="shared" si="1"/>
        <v>83459.715000000011</v>
      </c>
      <c r="G15" s="17">
        <f t="shared" si="1"/>
        <v>95000</v>
      </c>
      <c r="H15" s="17">
        <f t="shared" si="1"/>
        <v>87591.4</v>
      </c>
      <c r="I15" s="17">
        <f t="shared" si="1"/>
        <v>95000</v>
      </c>
    </row>
    <row r="16" spans="1:19" x14ac:dyDescent="0.25">
      <c r="A16" s="12"/>
      <c r="B16" s="3"/>
      <c r="C16" s="18"/>
      <c r="D16" s="18"/>
      <c r="E16" s="18"/>
      <c r="F16" s="18"/>
      <c r="G16" s="18"/>
      <c r="H16" s="18"/>
      <c r="I16" s="18"/>
    </row>
    <row r="17" spans="1:9" x14ac:dyDescent="0.25">
      <c r="A17" s="12" t="s">
        <v>108</v>
      </c>
      <c r="B17" s="12" t="s">
        <v>14</v>
      </c>
      <c r="C17" s="4">
        <v>200</v>
      </c>
      <c r="D17" s="4">
        <v>4419.6499999999996</v>
      </c>
      <c r="E17" s="4">
        <v>200</v>
      </c>
      <c r="F17" s="16">
        <v>15185.3</v>
      </c>
      <c r="G17" s="4">
        <v>10000</v>
      </c>
      <c r="H17" s="16">
        <v>9391.5300000000007</v>
      </c>
      <c r="I17" s="4">
        <v>10000</v>
      </c>
    </row>
    <row r="18" spans="1:9" x14ac:dyDescent="0.25">
      <c r="A18" s="2"/>
      <c r="B18" s="9" t="s">
        <v>85</v>
      </c>
      <c r="C18" s="10">
        <f>C17</f>
        <v>200</v>
      </c>
      <c r="D18" s="10">
        <f t="shared" ref="D18:I18" si="2">D17</f>
        <v>4419.6499999999996</v>
      </c>
      <c r="E18" s="10">
        <f t="shared" si="2"/>
        <v>200</v>
      </c>
      <c r="F18" s="10">
        <f t="shared" si="2"/>
        <v>15185.3</v>
      </c>
      <c r="G18" s="10">
        <f t="shared" si="2"/>
        <v>10000</v>
      </c>
      <c r="H18" s="10">
        <f t="shared" si="2"/>
        <v>9391.5300000000007</v>
      </c>
      <c r="I18" s="10">
        <f t="shared" si="2"/>
        <v>10000</v>
      </c>
    </row>
    <row r="19" spans="1:9" x14ac:dyDescent="0.25">
      <c r="A19" s="1"/>
      <c r="B19" s="3"/>
      <c r="C19" s="18"/>
      <c r="D19" s="18"/>
      <c r="E19" s="18"/>
      <c r="F19" s="18"/>
      <c r="G19" s="18"/>
      <c r="H19" s="18"/>
      <c r="I19" s="18"/>
    </row>
    <row r="20" spans="1:9" x14ac:dyDescent="0.25">
      <c r="A20" s="1"/>
      <c r="B20" s="1" t="s">
        <v>86</v>
      </c>
      <c r="C20" s="21">
        <v>7396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</row>
    <row r="21" spans="1:9" x14ac:dyDescent="0.25">
      <c r="A21" s="1"/>
      <c r="B21" s="19" t="s">
        <v>87</v>
      </c>
      <c r="C21" s="20">
        <f>C11+C15+C18+C20</f>
        <v>175255</v>
      </c>
      <c r="D21" s="20">
        <f t="shared" ref="D21:I21" si="3">D11+D15+D18+D20</f>
        <v>182572.94999999998</v>
      </c>
      <c r="E21" s="20">
        <f t="shared" si="3"/>
        <v>175728</v>
      </c>
      <c r="F21" s="20">
        <f t="shared" si="3"/>
        <v>195041.01500000001</v>
      </c>
      <c r="G21" s="20">
        <f t="shared" si="3"/>
        <v>202505</v>
      </c>
      <c r="H21" s="20">
        <f t="shared" si="3"/>
        <v>227864.83</v>
      </c>
      <c r="I21" s="20">
        <f t="shared" si="3"/>
        <v>114000</v>
      </c>
    </row>
    <row r="55" spans="1:10" ht="15.75" x14ac:dyDescent="0.25">
      <c r="A55" s="26" t="s">
        <v>30</v>
      </c>
      <c r="B55" s="26"/>
      <c r="C55" s="26"/>
      <c r="D55" s="26"/>
      <c r="E55" s="26"/>
      <c r="F55" s="26"/>
      <c r="G55" s="26"/>
      <c r="H55" s="26"/>
      <c r="I55" s="26"/>
      <c r="J55" s="50"/>
    </row>
    <row r="56" spans="1:10" ht="15.75" x14ac:dyDescent="0.25">
      <c r="A56" s="26" t="s">
        <v>80</v>
      </c>
      <c r="B56" s="26"/>
      <c r="C56" s="26"/>
      <c r="D56" s="26"/>
      <c r="E56" s="26"/>
      <c r="F56" s="26"/>
      <c r="G56" s="26"/>
      <c r="H56" s="26"/>
      <c r="I56" s="26"/>
      <c r="J56" s="50"/>
    </row>
    <row r="57" spans="1:10" ht="15.75" x14ac:dyDescent="0.25">
      <c r="A57" s="26" t="s">
        <v>32</v>
      </c>
      <c r="B57" s="26"/>
      <c r="C57" s="26"/>
      <c r="D57" s="26"/>
      <c r="E57" s="26"/>
      <c r="F57" s="26"/>
      <c r="G57" s="26"/>
      <c r="H57" s="26"/>
      <c r="I57" s="26"/>
      <c r="J57" s="50"/>
    </row>
    <row r="58" spans="1:10" ht="15.75" x14ac:dyDescent="0.25">
      <c r="D58" s="5"/>
      <c r="J58" s="15"/>
    </row>
    <row r="59" spans="1:10" ht="15.75" x14ac:dyDescent="0.25">
      <c r="A59" s="3"/>
      <c r="B59" s="3"/>
      <c r="C59" s="25">
        <v>2022</v>
      </c>
      <c r="D59" s="25"/>
      <c r="E59" s="25">
        <v>2023</v>
      </c>
      <c r="F59" s="25"/>
      <c r="G59" s="25">
        <v>2024</v>
      </c>
      <c r="H59" s="25"/>
      <c r="I59" s="8">
        <v>2025</v>
      </c>
      <c r="J59" s="15"/>
    </row>
    <row r="60" spans="1:10" x14ac:dyDescent="0.25">
      <c r="A60" s="3" t="s">
        <v>0</v>
      </c>
      <c r="B60" s="3" t="s">
        <v>1</v>
      </c>
      <c r="C60" s="6" t="s">
        <v>2</v>
      </c>
      <c r="D60" s="6" t="s">
        <v>3</v>
      </c>
      <c r="E60" s="6" t="s">
        <v>2</v>
      </c>
      <c r="F60" s="6" t="s">
        <v>3</v>
      </c>
      <c r="G60" s="6" t="s">
        <v>2</v>
      </c>
      <c r="H60" s="6" t="s">
        <v>4</v>
      </c>
      <c r="I60" s="6" t="s">
        <v>5</v>
      </c>
    </row>
    <row r="61" spans="1:10" x14ac:dyDescent="0.25">
      <c r="B61" s="3" t="s">
        <v>8</v>
      </c>
    </row>
    <row r="62" spans="1:10" x14ac:dyDescent="0.25">
      <c r="A62" t="s">
        <v>56</v>
      </c>
      <c r="B62" t="s">
        <v>58</v>
      </c>
      <c r="C62" s="4">
        <v>13000</v>
      </c>
      <c r="D62" s="4">
        <v>2734.68</v>
      </c>
      <c r="E62" s="4">
        <v>4000</v>
      </c>
      <c r="F62" s="16">
        <v>2734.68</v>
      </c>
      <c r="G62" s="4">
        <v>4000</v>
      </c>
      <c r="H62" s="4">
        <f>3437.07-923.04+153.84</f>
        <v>2667.8700000000003</v>
      </c>
      <c r="I62" s="4">
        <v>4000</v>
      </c>
    </row>
    <row r="63" spans="1:10" x14ac:dyDescent="0.25">
      <c r="A63" t="s">
        <v>89</v>
      </c>
      <c r="B63" t="s">
        <v>90</v>
      </c>
      <c r="C63" s="4">
        <v>0</v>
      </c>
      <c r="D63" s="4">
        <v>0</v>
      </c>
      <c r="E63" s="4">
        <v>0</v>
      </c>
      <c r="F63" s="16">
        <v>0</v>
      </c>
      <c r="G63" s="4">
        <v>500</v>
      </c>
      <c r="H63" s="4">
        <v>0</v>
      </c>
      <c r="I63" s="4">
        <v>500</v>
      </c>
    </row>
    <row r="64" spans="1:10" x14ac:dyDescent="0.25">
      <c r="A64" t="s">
        <v>57</v>
      </c>
      <c r="B64" t="s">
        <v>59</v>
      </c>
      <c r="C64" s="4">
        <v>3500</v>
      </c>
      <c r="D64" s="4">
        <v>64925.94</v>
      </c>
      <c r="E64" s="4">
        <v>14500</v>
      </c>
      <c r="F64" s="16">
        <f>16529.97-300</f>
        <v>16229.970000000001</v>
      </c>
      <c r="G64" s="4">
        <v>24500</v>
      </c>
      <c r="H64" s="4">
        <f>14257.38-549.89+150</f>
        <v>13857.49</v>
      </c>
      <c r="I64" s="4">
        <v>24500</v>
      </c>
    </row>
    <row r="65" spans="1:9" x14ac:dyDescent="0.25">
      <c r="B65" s="11" t="s">
        <v>60</v>
      </c>
      <c r="C65" s="10">
        <f>SUM(C62:C64)</f>
        <v>16500</v>
      </c>
      <c r="D65" s="10">
        <f t="shared" ref="D65:I65" si="4">SUM(D62:D64)</f>
        <v>67660.62</v>
      </c>
      <c r="E65" s="10">
        <f t="shared" si="4"/>
        <v>18500</v>
      </c>
      <c r="F65" s="10">
        <f t="shared" si="4"/>
        <v>18964.650000000001</v>
      </c>
      <c r="G65" s="10">
        <f t="shared" si="4"/>
        <v>29000</v>
      </c>
      <c r="H65" s="10">
        <f t="shared" si="4"/>
        <v>16525.36</v>
      </c>
      <c r="I65" s="10">
        <f t="shared" si="4"/>
        <v>29000</v>
      </c>
    </row>
    <row r="66" spans="1:9" x14ac:dyDescent="0.25">
      <c r="F66" s="16"/>
    </row>
    <row r="67" spans="1:9" x14ac:dyDescent="0.25">
      <c r="A67" t="s">
        <v>61</v>
      </c>
      <c r="B67" t="s">
        <v>92</v>
      </c>
      <c r="C67" s="4">
        <v>5200</v>
      </c>
      <c r="D67" s="4">
        <v>90</v>
      </c>
      <c r="E67" s="4">
        <v>5200</v>
      </c>
      <c r="F67" s="16">
        <v>0</v>
      </c>
      <c r="G67" s="4">
        <v>2000</v>
      </c>
      <c r="H67" s="4">
        <v>0</v>
      </c>
      <c r="I67" s="4">
        <v>2000</v>
      </c>
    </row>
    <row r="68" spans="1:9" x14ac:dyDescent="0.25">
      <c r="A68" t="s">
        <v>91</v>
      </c>
      <c r="B68" t="s">
        <v>93</v>
      </c>
      <c r="C68" s="4">
        <v>200</v>
      </c>
      <c r="D68" s="4">
        <v>689.44</v>
      </c>
      <c r="E68" s="4">
        <v>200</v>
      </c>
      <c r="F68" s="16">
        <v>0</v>
      </c>
      <c r="G68" s="4">
        <v>200</v>
      </c>
      <c r="H68" s="4">
        <v>0</v>
      </c>
      <c r="I68" s="4">
        <v>200</v>
      </c>
    </row>
    <row r="69" spans="1:9" x14ac:dyDescent="0.25">
      <c r="A69" t="s">
        <v>62</v>
      </c>
      <c r="B69" t="s">
        <v>94</v>
      </c>
      <c r="C69" s="4">
        <v>2500</v>
      </c>
      <c r="D69" s="4">
        <v>0</v>
      </c>
      <c r="E69" s="4">
        <v>2500</v>
      </c>
      <c r="F69" s="16">
        <v>5.12</v>
      </c>
      <c r="G69" s="4">
        <v>12500</v>
      </c>
      <c r="H69" s="4">
        <v>8822.76</v>
      </c>
      <c r="I69" s="4">
        <v>12500</v>
      </c>
    </row>
    <row r="70" spans="1:9" x14ac:dyDescent="0.25">
      <c r="B70" s="11" t="s">
        <v>65</v>
      </c>
      <c r="C70" s="10">
        <f>SUM(C67:C69)</f>
        <v>7900</v>
      </c>
      <c r="D70" s="10">
        <f t="shared" ref="D70:I70" si="5">SUM(D67:D69)</f>
        <v>779.44</v>
      </c>
      <c r="E70" s="10">
        <f t="shared" si="5"/>
        <v>7900</v>
      </c>
      <c r="F70" s="10">
        <f t="shared" si="5"/>
        <v>5.12</v>
      </c>
      <c r="G70" s="10">
        <f t="shared" si="5"/>
        <v>14700</v>
      </c>
      <c r="H70" s="10">
        <f t="shared" si="5"/>
        <v>8822.76</v>
      </c>
      <c r="I70" s="10">
        <f t="shared" si="5"/>
        <v>14700</v>
      </c>
    </row>
    <row r="71" spans="1:9" x14ac:dyDescent="0.25">
      <c r="F71" s="16"/>
    </row>
    <row r="72" spans="1:9" x14ac:dyDescent="0.25">
      <c r="A72" t="s">
        <v>95</v>
      </c>
      <c r="B72" t="s">
        <v>96</v>
      </c>
      <c r="C72" s="4">
        <v>0</v>
      </c>
      <c r="D72" s="4">
        <v>0</v>
      </c>
      <c r="E72" s="4">
        <v>0</v>
      </c>
      <c r="F72" s="16">
        <v>0</v>
      </c>
      <c r="G72" s="4">
        <v>0</v>
      </c>
      <c r="H72" s="4">
        <v>0</v>
      </c>
      <c r="I72" s="4">
        <v>0</v>
      </c>
    </row>
    <row r="73" spans="1:9" x14ac:dyDescent="0.25">
      <c r="A73" t="s">
        <v>66</v>
      </c>
      <c r="B73" t="s">
        <v>67</v>
      </c>
      <c r="C73" s="4">
        <v>2500</v>
      </c>
      <c r="D73" s="4">
        <v>2403.1</v>
      </c>
      <c r="E73" s="4">
        <v>2500</v>
      </c>
      <c r="F73" s="16">
        <v>2832.35</v>
      </c>
      <c r="G73" s="4">
        <v>0</v>
      </c>
      <c r="H73" s="4">
        <v>3205.88</v>
      </c>
      <c r="I73" s="4">
        <v>0</v>
      </c>
    </row>
    <row r="74" spans="1:9" x14ac:dyDescent="0.25">
      <c r="B74" s="11" t="s">
        <v>68</v>
      </c>
      <c r="C74" s="10">
        <f>SUM(C73)</f>
        <v>2500</v>
      </c>
      <c r="D74" s="10">
        <f t="shared" ref="D74:I74" si="6">SUM(D73)</f>
        <v>2403.1</v>
      </c>
      <c r="E74" s="10">
        <f t="shared" si="6"/>
        <v>2500</v>
      </c>
      <c r="F74" s="10">
        <f t="shared" si="6"/>
        <v>2832.35</v>
      </c>
      <c r="G74" s="10">
        <f t="shared" si="6"/>
        <v>0</v>
      </c>
      <c r="H74" s="10">
        <f t="shared" si="6"/>
        <v>3205.88</v>
      </c>
      <c r="I74" s="10">
        <f t="shared" si="6"/>
        <v>0</v>
      </c>
    </row>
    <row r="75" spans="1:9" x14ac:dyDescent="0.25">
      <c r="F75" s="16"/>
    </row>
    <row r="76" spans="1:9" x14ac:dyDescent="0.25">
      <c r="A76" t="s">
        <v>69</v>
      </c>
      <c r="B76" t="s">
        <v>71</v>
      </c>
      <c r="C76" s="4">
        <v>7627</v>
      </c>
      <c r="D76" s="4">
        <v>1457.52</v>
      </c>
      <c r="E76" s="4">
        <v>5081</v>
      </c>
      <c r="F76" s="16">
        <v>1017.23</v>
      </c>
      <c r="G76" s="4">
        <v>5000</v>
      </c>
      <c r="H76" s="4">
        <f>980-125</f>
        <v>855</v>
      </c>
      <c r="I76" s="4">
        <v>5000</v>
      </c>
    </row>
    <row r="77" spans="1:9" x14ac:dyDescent="0.25">
      <c r="A77" t="s">
        <v>97</v>
      </c>
      <c r="B77" t="s">
        <v>98</v>
      </c>
      <c r="C77" s="4">
        <v>200</v>
      </c>
      <c r="D77" s="4">
        <v>3053.42</v>
      </c>
      <c r="E77" s="4">
        <v>200</v>
      </c>
      <c r="F77" s="16">
        <v>0</v>
      </c>
      <c r="G77" s="4">
        <v>1200</v>
      </c>
      <c r="H77" s="4">
        <v>0</v>
      </c>
      <c r="I77" s="4">
        <v>1200</v>
      </c>
    </row>
    <row r="78" spans="1:9" x14ac:dyDescent="0.25">
      <c r="A78" t="s">
        <v>70</v>
      </c>
      <c r="B78" t="s">
        <v>72</v>
      </c>
      <c r="C78" s="4">
        <v>22000</v>
      </c>
      <c r="D78" s="4">
        <v>20030.36</v>
      </c>
      <c r="E78" s="4">
        <v>22000</v>
      </c>
      <c r="F78" s="16">
        <f>26434.66-1066.43</f>
        <v>25368.23</v>
      </c>
      <c r="G78" s="4">
        <v>32000</v>
      </c>
      <c r="H78" s="4">
        <v>40909.519999999997</v>
      </c>
      <c r="I78" s="4">
        <v>32000</v>
      </c>
    </row>
    <row r="79" spans="1:9" x14ac:dyDescent="0.25">
      <c r="B79" s="11" t="s">
        <v>73</v>
      </c>
      <c r="C79" s="10">
        <f>SUM(C76:C78)</f>
        <v>29827</v>
      </c>
      <c r="D79" s="10">
        <f t="shared" ref="D79:I79" si="7">SUM(D76:D78)</f>
        <v>24541.300000000003</v>
      </c>
      <c r="E79" s="10">
        <f t="shared" si="7"/>
        <v>27281</v>
      </c>
      <c r="F79" s="10">
        <f t="shared" si="7"/>
        <v>26385.46</v>
      </c>
      <c r="G79" s="10">
        <f t="shared" si="7"/>
        <v>38200</v>
      </c>
      <c r="H79" s="10">
        <f t="shared" si="7"/>
        <v>41764.519999999997</v>
      </c>
      <c r="I79" s="10">
        <f t="shared" si="7"/>
        <v>38200</v>
      </c>
    </row>
    <row r="80" spans="1:9" x14ac:dyDescent="0.25">
      <c r="B80" s="22" t="s">
        <v>74</v>
      </c>
      <c r="C80" s="10">
        <f>SUM(C65+C70+C74+C79)</f>
        <v>56727</v>
      </c>
      <c r="D80" s="10">
        <f t="shared" ref="D80:I80" si="8">SUM(D65+D70+D74+D79)</f>
        <v>95384.46</v>
      </c>
      <c r="E80" s="10">
        <f t="shared" si="8"/>
        <v>56181</v>
      </c>
      <c r="F80" s="10">
        <f t="shared" si="8"/>
        <v>48187.58</v>
      </c>
      <c r="G80" s="10">
        <f t="shared" si="8"/>
        <v>81900</v>
      </c>
      <c r="H80" s="10">
        <f t="shared" si="8"/>
        <v>70318.52</v>
      </c>
      <c r="I80" s="10">
        <f t="shared" si="8"/>
        <v>81900</v>
      </c>
    </row>
    <row r="81" spans="1:9" x14ac:dyDescent="0.25">
      <c r="F81" s="16"/>
    </row>
    <row r="82" spans="1:9" x14ac:dyDescent="0.25">
      <c r="A82" t="s">
        <v>75</v>
      </c>
      <c r="B82" t="s">
        <v>22</v>
      </c>
      <c r="C82" s="4">
        <v>2000</v>
      </c>
      <c r="D82" s="4">
        <v>969.08</v>
      </c>
      <c r="E82" s="4">
        <v>2000</v>
      </c>
      <c r="F82" s="16">
        <v>0</v>
      </c>
      <c r="G82" s="4">
        <v>2000</v>
      </c>
      <c r="H82" s="4">
        <v>0</v>
      </c>
      <c r="I82" s="4">
        <v>200</v>
      </c>
    </row>
    <row r="83" spans="1:9" x14ac:dyDescent="0.25">
      <c r="A83" t="s">
        <v>76</v>
      </c>
      <c r="B83" t="s">
        <v>24</v>
      </c>
      <c r="C83" s="4">
        <v>1100</v>
      </c>
      <c r="D83" s="4">
        <v>284.60000000000002</v>
      </c>
      <c r="E83" s="4">
        <v>1100</v>
      </c>
      <c r="F83" s="16">
        <v>306.64999999999998</v>
      </c>
      <c r="G83" s="4">
        <v>1100</v>
      </c>
      <c r="H83" s="4">
        <f>310.22-60.92+15.67</f>
        <v>264.97000000000003</v>
      </c>
      <c r="I83" s="4">
        <v>1100</v>
      </c>
    </row>
    <row r="84" spans="1:9" x14ac:dyDescent="0.25">
      <c r="A84" t="s">
        <v>77</v>
      </c>
      <c r="B84" t="s">
        <v>79</v>
      </c>
      <c r="C84" s="4">
        <v>0</v>
      </c>
      <c r="D84" s="4">
        <v>0</v>
      </c>
      <c r="E84" s="4">
        <v>0</v>
      </c>
      <c r="F84" s="16">
        <v>0</v>
      </c>
      <c r="G84" s="4">
        <v>0</v>
      </c>
      <c r="H84" s="4" t="s">
        <v>105</v>
      </c>
      <c r="I84" s="4">
        <v>0</v>
      </c>
    </row>
    <row r="85" spans="1:9" x14ac:dyDescent="0.25">
      <c r="A85" t="s">
        <v>78</v>
      </c>
      <c r="B85" t="s">
        <v>26</v>
      </c>
      <c r="C85" s="4">
        <v>0</v>
      </c>
      <c r="D85" s="4">
        <v>0</v>
      </c>
      <c r="E85" s="4">
        <v>0</v>
      </c>
      <c r="F85" s="16">
        <v>0</v>
      </c>
      <c r="G85" s="4">
        <v>0</v>
      </c>
      <c r="H85" s="4">
        <v>457.8</v>
      </c>
      <c r="I85" s="4">
        <v>0</v>
      </c>
    </row>
    <row r="86" spans="1:9" x14ac:dyDescent="0.25">
      <c r="B86" s="11" t="s">
        <v>27</v>
      </c>
      <c r="C86" s="10">
        <f>SUM(C82:C85)</f>
        <v>3100</v>
      </c>
      <c r="D86" s="10">
        <f t="shared" ref="D86:I86" si="9">SUM(D82:D85)</f>
        <v>1253.68</v>
      </c>
      <c r="E86" s="10">
        <f t="shared" si="9"/>
        <v>3100</v>
      </c>
      <c r="F86" s="10">
        <f t="shared" si="9"/>
        <v>306.64999999999998</v>
      </c>
      <c r="G86" s="10">
        <f t="shared" si="9"/>
        <v>3100</v>
      </c>
      <c r="H86" s="10">
        <f t="shared" si="9"/>
        <v>722.77</v>
      </c>
      <c r="I86" s="10">
        <f t="shared" si="9"/>
        <v>1300</v>
      </c>
    </row>
    <row r="88" spans="1:9" x14ac:dyDescent="0.25">
      <c r="A88" t="s">
        <v>99</v>
      </c>
      <c r="B88" t="s">
        <v>100</v>
      </c>
      <c r="C88" s="4">
        <v>86206</v>
      </c>
      <c r="D88" s="4">
        <v>0</v>
      </c>
      <c r="E88" s="4">
        <v>87356</v>
      </c>
      <c r="F88" s="4">
        <v>0</v>
      </c>
      <c r="G88" s="4">
        <v>88505</v>
      </c>
      <c r="H88" s="4">
        <v>0</v>
      </c>
      <c r="I88" s="4">
        <v>0</v>
      </c>
    </row>
    <row r="89" spans="1:9" x14ac:dyDescent="0.25">
      <c r="B89" s="11" t="s">
        <v>101</v>
      </c>
      <c r="C89" s="10">
        <f>C88</f>
        <v>86206</v>
      </c>
      <c r="D89" s="10">
        <f t="shared" ref="D89:I89" si="10">D88</f>
        <v>0</v>
      </c>
      <c r="E89" s="10">
        <f t="shared" si="10"/>
        <v>87356</v>
      </c>
      <c r="F89" s="10">
        <f t="shared" si="10"/>
        <v>0</v>
      </c>
      <c r="G89" s="10">
        <f t="shared" si="10"/>
        <v>88505</v>
      </c>
      <c r="H89" s="10">
        <f t="shared" si="10"/>
        <v>0</v>
      </c>
      <c r="I89" s="10">
        <f t="shared" si="10"/>
        <v>0</v>
      </c>
    </row>
    <row r="91" spans="1:9" x14ac:dyDescent="0.25">
      <c r="A91" t="s">
        <v>102</v>
      </c>
      <c r="B91" t="s">
        <v>103</v>
      </c>
      <c r="C91" s="4">
        <v>9120</v>
      </c>
      <c r="D91" s="4">
        <v>9120</v>
      </c>
      <c r="E91" s="4">
        <v>9120</v>
      </c>
      <c r="F91" s="4">
        <v>0</v>
      </c>
      <c r="G91" s="4">
        <v>12500</v>
      </c>
      <c r="H91" s="4">
        <v>0</v>
      </c>
      <c r="I91" s="4">
        <v>0</v>
      </c>
    </row>
    <row r="92" spans="1:9" x14ac:dyDescent="0.25">
      <c r="B92" s="11" t="s">
        <v>104</v>
      </c>
      <c r="C92" s="10">
        <f>C91</f>
        <v>9120</v>
      </c>
      <c r="D92" s="10">
        <f t="shared" ref="D92:I92" si="11">D91</f>
        <v>9120</v>
      </c>
      <c r="E92" s="10">
        <f t="shared" si="11"/>
        <v>9120</v>
      </c>
      <c r="F92" s="10">
        <f t="shared" si="11"/>
        <v>0</v>
      </c>
      <c r="G92" s="10">
        <f t="shared" si="11"/>
        <v>12500</v>
      </c>
      <c r="H92" s="10">
        <f t="shared" si="11"/>
        <v>0</v>
      </c>
      <c r="I92" s="10">
        <f t="shared" si="11"/>
        <v>0</v>
      </c>
    </row>
    <row r="93" spans="1:9" x14ac:dyDescent="0.25">
      <c r="B93" s="11" t="s">
        <v>11</v>
      </c>
      <c r="C93" s="10">
        <f>C65+C70+C74+C79+C86+C89+C92</f>
        <v>155153</v>
      </c>
      <c r="D93" s="10">
        <f>D65+D70+D74+D79+D86+D89+D92</f>
        <v>105758.14</v>
      </c>
      <c r="E93" s="10">
        <f>E65+E70+E74+E79+E86+E89+E92</f>
        <v>155757</v>
      </c>
      <c r="F93" s="10">
        <f>F65+F70+F74+F79+F86+F89+F92</f>
        <v>48494.23</v>
      </c>
      <c r="G93" s="10">
        <f>G65+G70+G74+G79+G86+G89+G92</f>
        <v>186005</v>
      </c>
      <c r="H93" s="10">
        <f>H65+H70+H74+H79+H86+H89+H92</f>
        <v>71041.290000000008</v>
      </c>
      <c r="I93" s="10">
        <f>I65+I70+I74+I79+I86+I89+I92</f>
        <v>83200</v>
      </c>
    </row>
  </sheetData>
  <mergeCells count="15">
    <mergeCell ref="A1:I1"/>
    <mergeCell ref="A2:I2"/>
    <mergeCell ref="A3:I3"/>
    <mergeCell ref="A55:I55"/>
    <mergeCell ref="A56:I56"/>
    <mergeCell ref="A57:I57"/>
    <mergeCell ref="L5:M5"/>
    <mergeCell ref="N5:O5"/>
    <mergeCell ref="P5:Q5"/>
    <mergeCell ref="C59:D59"/>
    <mergeCell ref="E59:F59"/>
    <mergeCell ref="G59:H59"/>
    <mergeCell ref="C5:D5"/>
    <mergeCell ref="E5:F5"/>
    <mergeCell ref="G5:H5"/>
  </mergeCells>
  <pageMargins left="0.7" right="0.7" top="0.75" bottom="0.75" header="0.3" footer="0.3"/>
  <pageSetup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17D9-1FAF-4B6C-9D48-91627636B02A}">
  <sheetPr>
    <pageSetUpPr fitToPage="1"/>
  </sheetPr>
  <dimension ref="A1:J90"/>
  <sheetViews>
    <sheetView topLeftCell="A27" workbookViewId="0">
      <selection activeCell="G92" sqref="G92"/>
    </sheetView>
  </sheetViews>
  <sheetFormatPr defaultRowHeight="15" x14ac:dyDescent="0.25"/>
  <cols>
    <col min="1" max="1" width="10.140625" customWidth="1"/>
    <col min="2" max="2" width="30.28515625" customWidth="1"/>
    <col min="3" max="3" width="14.28515625" style="4" bestFit="1" customWidth="1"/>
    <col min="4" max="4" width="12.5703125" style="4" bestFit="1" customWidth="1"/>
    <col min="5" max="7" width="14.28515625" style="4" bestFit="1" customWidth="1"/>
    <col min="8" max="9" width="12.5703125" style="4" bestFit="1" customWidth="1"/>
  </cols>
  <sheetData>
    <row r="1" spans="1:10" ht="15.75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.75" x14ac:dyDescent="0.25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D4" s="5"/>
    </row>
    <row r="5" spans="1:10" x14ac:dyDescent="0.25">
      <c r="A5" s="3"/>
      <c r="B5" s="3"/>
      <c r="C5" s="25">
        <v>2022</v>
      </c>
      <c r="D5" s="25"/>
      <c r="E5" s="25">
        <v>2023</v>
      </c>
      <c r="F5" s="25"/>
      <c r="G5" s="25">
        <v>2024</v>
      </c>
      <c r="H5" s="25"/>
      <c r="I5" s="8">
        <v>2025</v>
      </c>
    </row>
    <row r="6" spans="1:10" s="2" customFormat="1" x14ac:dyDescent="0.25">
      <c r="A6" s="3" t="s">
        <v>0</v>
      </c>
      <c r="B6" s="3" t="s">
        <v>1</v>
      </c>
      <c r="C6" s="6" t="s">
        <v>2</v>
      </c>
      <c r="D6" s="6" t="s">
        <v>3</v>
      </c>
      <c r="E6" s="6" t="s">
        <v>2</v>
      </c>
      <c r="F6" s="6" t="s">
        <v>3</v>
      </c>
      <c r="G6" s="6" t="s">
        <v>2</v>
      </c>
      <c r="H6" s="6" t="s">
        <v>4</v>
      </c>
      <c r="I6" s="6" t="s">
        <v>5</v>
      </c>
      <c r="J6"/>
    </row>
    <row r="7" spans="1:10" x14ac:dyDescent="0.25">
      <c r="A7" s="1"/>
      <c r="B7" s="3" t="s">
        <v>6</v>
      </c>
      <c r="C7" s="7"/>
      <c r="D7" s="7"/>
      <c r="E7" s="7"/>
      <c r="F7" s="7"/>
      <c r="G7" s="7"/>
      <c r="H7" s="7"/>
      <c r="I7" s="7"/>
    </row>
    <row r="8" spans="1:10" x14ac:dyDescent="0.25">
      <c r="A8" s="12" t="s">
        <v>107</v>
      </c>
      <c r="B8" s="12" t="s">
        <v>15</v>
      </c>
      <c r="C8" s="7">
        <v>463000</v>
      </c>
      <c r="D8" s="7">
        <v>463000</v>
      </c>
      <c r="E8" s="7">
        <v>463000</v>
      </c>
      <c r="F8" s="7">
        <v>463000</v>
      </c>
      <c r="G8" s="7">
        <v>463000</v>
      </c>
      <c r="H8" s="7">
        <v>463090</v>
      </c>
      <c r="I8" s="7">
        <v>463000</v>
      </c>
    </row>
    <row r="9" spans="1:10" x14ac:dyDescent="0.25">
      <c r="A9" s="12"/>
      <c r="B9" s="33" t="s">
        <v>84</v>
      </c>
      <c r="C9" s="17">
        <f t="shared" ref="C9:I9" si="0">SUM(C8:C8)</f>
        <v>463000</v>
      </c>
      <c r="D9" s="17">
        <f t="shared" si="0"/>
        <v>463000</v>
      </c>
      <c r="E9" s="17">
        <f t="shared" si="0"/>
        <v>463000</v>
      </c>
      <c r="F9" s="17">
        <f t="shared" si="0"/>
        <v>463000</v>
      </c>
      <c r="G9" s="17">
        <f t="shared" si="0"/>
        <v>463000</v>
      </c>
      <c r="H9" s="17">
        <f t="shared" si="0"/>
        <v>463090</v>
      </c>
      <c r="I9" s="17">
        <f t="shared" si="0"/>
        <v>463000</v>
      </c>
    </row>
    <row r="10" spans="1:10" x14ac:dyDescent="0.25">
      <c r="A10" s="12"/>
      <c r="B10" s="12"/>
      <c r="C10" s="7"/>
      <c r="D10" s="7"/>
      <c r="E10" s="7"/>
      <c r="F10" s="7"/>
      <c r="G10" s="7"/>
      <c r="H10" s="7"/>
      <c r="I10" s="7"/>
    </row>
    <row r="11" spans="1:10" x14ac:dyDescent="0.25">
      <c r="A11" s="12" t="s">
        <v>134</v>
      </c>
      <c r="B11" s="12" t="s">
        <v>138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10" x14ac:dyDescent="0.25">
      <c r="A12" s="12" t="s">
        <v>135</v>
      </c>
      <c r="B12" s="12" t="s">
        <v>139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</row>
    <row r="13" spans="1:10" x14ac:dyDescent="0.25">
      <c r="A13" s="12" t="s">
        <v>136</v>
      </c>
      <c r="B13" s="12" t="s">
        <v>14</v>
      </c>
      <c r="C13" s="4">
        <v>7000</v>
      </c>
      <c r="D13" s="4">
        <v>11855.14</v>
      </c>
      <c r="E13" s="4">
        <v>3000</v>
      </c>
      <c r="F13" s="16">
        <v>40121.68</v>
      </c>
      <c r="G13" s="4">
        <v>29000</v>
      </c>
      <c r="H13" s="16">
        <v>28353.26</v>
      </c>
      <c r="I13" s="4">
        <v>29000</v>
      </c>
    </row>
    <row r="14" spans="1:10" x14ac:dyDescent="0.25">
      <c r="A14" s="12" t="s">
        <v>137</v>
      </c>
      <c r="B14" s="12" t="s">
        <v>140</v>
      </c>
      <c r="C14" s="4">
        <v>400</v>
      </c>
      <c r="D14" s="4">
        <v>0</v>
      </c>
      <c r="E14" s="4">
        <v>400</v>
      </c>
      <c r="F14" s="4">
        <v>0</v>
      </c>
      <c r="G14" s="4">
        <v>400</v>
      </c>
      <c r="H14" s="4">
        <v>0</v>
      </c>
      <c r="I14" s="4">
        <v>400</v>
      </c>
    </row>
    <row r="15" spans="1:10" x14ac:dyDescent="0.25">
      <c r="A15" s="12"/>
      <c r="B15" s="33" t="s">
        <v>85</v>
      </c>
      <c r="C15" s="10">
        <f>SUM(C11:C14)</f>
        <v>7400</v>
      </c>
      <c r="D15" s="10">
        <f t="shared" ref="D15:I15" si="1">SUM(D11:D14)</f>
        <v>11855.14</v>
      </c>
      <c r="E15" s="10">
        <f t="shared" si="1"/>
        <v>3400</v>
      </c>
      <c r="F15" s="10">
        <f t="shared" si="1"/>
        <v>40121.68</v>
      </c>
      <c r="G15" s="10">
        <f t="shared" si="1"/>
        <v>29400</v>
      </c>
      <c r="H15" s="10">
        <f t="shared" si="1"/>
        <v>28353.26</v>
      </c>
      <c r="I15" s="10">
        <f t="shared" si="1"/>
        <v>29400</v>
      </c>
    </row>
    <row r="16" spans="1:10" x14ac:dyDescent="0.25">
      <c r="A16" s="12"/>
      <c r="B16" s="34"/>
      <c r="C16" s="13"/>
      <c r="D16" s="13"/>
      <c r="E16" s="13"/>
      <c r="F16" s="13"/>
      <c r="G16" s="13"/>
      <c r="H16" s="13"/>
      <c r="I16" s="13"/>
    </row>
    <row r="17" spans="1:9" x14ac:dyDescent="0.25">
      <c r="A17" s="12" t="s">
        <v>149</v>
      </c>
      <c r="B17" s="35" t="s">
        <v>144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</row>
    <row r="18" spans="1:9" x14ac:dyDescent="0.25">
      <c r="A18" s="12" t="s">
        <v>142</v>
      </c>
      <c r="B18" s="35" t="s">
        <v>145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</row>
    <row r="19" spans="1:9" x14ac:dyDescent="0.25">
      <c r="A19" s="12" t="s">
        <v>143</v>
      </c>
      <c r="B19" s="35" t="s">
        <v>146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 x14ac:dyDescent="0.25">
      <c r="A20" s="12"/>
      <c r="B20" s="36" t="s">
        <v>151</v>
      </c>
      <c r="C20" s="17">
        <f>SUM(C17:C19)</f>
        <v>0</v>
      </c>
      <c r="D20" s="17">
        <f t="shared" ref="D20:I20" si="2">SUM(D17:D19)</f>
        <v>0</v>
      </c>
      <c r="E20" s="17">
        <f t="shared" si="2"/>
        <v>0</v>
      </c>
      <c r="F20" s="17">
        <f t="shared" si="2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</row>
    <row r="21" spans="1:9" x14ac:dyDescent="0.25">
      <c r="A21" s="12"/>
      <c r="B21" s="12"/>
    </row>
    <row r="22" spans="1:9" x14ac:dyDescent="0.25">
      <c r="A22" s="12" t="s">
        <v>141</v>
      </c>
      <c r="B22" s="35" t="s">
        <v>152</v>
      </c>
      <c r="C22" s="4">
        <v>0</v>
      </c>
      <c r="D22" s="4">
        <v>41.81</v>
      </c>
      <c r="E22" s="4">
        <v>0</v>
      </c>
      <c r="F22" s="4">
        <v>269.74</v>
      </c>
      <c r="G22" s="4">
        <v>0</v>
      </c>
      <c r="H22" s="4">
        <v>0</v>
      </c>
      <c r="I22" s="4">
        <v>0</v>
      </c>
    </row>
    <row r="23" spans="1:9" x14ac:dyDescent="0.25">
      <c r="A23" s="12" t="s">
        <v>148</v>
      </c>
      <c r="B23" s="35" t="s">
        <v>153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1:9" x14ac:dyDescent="0.25">
      <c r="A24" s="12" t="s">
        <v>150</v>
      </c>
      <c r="B24" s="35" t="s">
        <v>154</v>
      </c>
      <c r="C24" s="4">
        <v>1000</v>
      </c>
      <c r="D24" s="4">
        <v>389.87</v>
      </c>
      <c r="E24" s="4">
        <v>1000</v>
      </c>
      <c r="F24" s="4">
        <v>0</v>
      </c>
      <c r="G24" s="4">
        <v>1000</v>
      </c>
      <c r="H24" s="4">
        <v>51.83</v>
      </c>
      <c r="I24" s="4">
        <v>1000</v>
      </c>
    </row>
    <row r="25" spans="1:9" x14ac:dyDescent="0.25">
      <c r="A25" s="12"/>
      <c r="B25" s="33" t="s">
        <v>147</v>
      </c>
      <c r="C25" s="17">
        <f>SUM(C22:C24)</f>
        <v>1000</v>
      </c>
      <c r="D25" s="17">
        <f t="shared" ref="D25:I25" si="3">SUM(D22:D24)</f>
        <v>431.68</v>
      </c>
      <c r="E25" s="17">
        <f t="shared" si="3"/>
        <v>1000</v>
      </c>
      <c r="F25" s="17">
        <f t="shared" si="3"/>
        <v>269.74</v>
      </c>
      <c r="G25" s="17">
        <f t="shared" si="3"/>
        <v>1000</v>
      </c>
      <c r="H25" s="17">
        <f t="shared" si="3"/>
        <v>51.83</v>
      </c>
      <c r="I25" s="17">
        <f t="shared" si="3"/>
        <v>1000</v>
      </c>
    </row>
    <row r="26" spans="1:9" x14ac:dyDescent="0.25">
      <c r="A26" s="12"/>
      <c r="B26" s="12"/>
    </row>
    <row r="27" spans="1:9" x14ac:dyDescent="0.25">
      <c r="A27" s="12" t="s">
        <v>155</v>
      </c>
      <c r="B27" s="37" t="s">
        <v>157</v>
      </c>
      <c r="C27" s="4">
        <v>76000</v>
      </c>
      <c r="D27" s="4">
        <v>0</v>
      </c>
      <c r="E27" s="4">
        <v>76000</v>
      </c>
      <c r="F27" s="4">
        <v>0</v>
      </c>
      <c r="G27" s="4">
        <v>76000</v>
      </c>
      <c r="H27" s="4">
        <v>0</v>
      </c>
      <c r="I27" s="4">
        <v>76000</v>
      </c>
    </row>
    <row r="28" spans="1:9" x14ac:dyDescent="0.25">
      <c r="A28" s="12" t="s">
        <v>156</v>
      </c>
      <c r="B28" s="35" t="s">
        <v>158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1:9" x14ac:dyDescent="0.25">
      <c r="A29" s="12"/>
      <c r="B29" s="33" t="s">
        <v>159</v>
      </c>
      <c r="C29" s="10">
        <f>SUM(C27:C28)</f>
        <v>76000</v>
      </c>
      <c r="D29" s="10">
        <f t="shared" ref="D29:I29" si="4">SUM(D27:D28)</f>
        <v>0</v>
      </c>
      <c r="E29" s="10">
        <f t="shared" si="4"/>
        <v>76000</v>
      </c>
      <c r="F29" s="10">
        <f t="shared" si="4"/>
        <v>0</v>
      </c>
      <c r="G29" s="10">
        <f t="shared" si="4"/>
        <v>76000</v>
      </c>
      <c r="H29" s="10">
        <f t="shared" si="4"/>
        <v>0</v>
      </c>
      <c r="I29" s="10">
        <f t="shared" si="4"/>
        <v>76000</v>
      </c>
    </row>
    <row r="30" spans="1:9" x14ac:dyDescent="0.25">
      <c r="A30" s="12"/>
      <c r="B30" s="12"/>
    </row>
    <row r="31" spans="1:9" x14ac:dyDescent="0.25">
      <c r="A31" s="12" t="s">
        <v>160</v>
      </c>
      <c r="B31" s="38" t="s">
        <v>161</v>
      </c>
      <c r="C31" s="21">
        <v>3500</v>
      </c>
      <c r="D31" s="21">
        <v>0</v>
      </c>
      <c r="E31" s="21">
        <v>3500</v>
      </c>
      <c r="F31" s="21">
        <v>0</v>
      </c>
      <c r="G31" s="21">
        <v>3500</v>
      </c>
      <c r="H31" s="21">
        <v>0</v>
      </c>
      <c r="I31" s="21">
        <v>3500</v>
      </c>
    </row>
    <row r="32" spans="1:9" x14ac:dyDescent="0.25">
      <c r="A32" s="12"/>
      <c r="B32" s="33" t="s">
        <v>162</v>
      </c>
      <c r="C32" s="17">
        <f>C31</f>
        <v>3500</v>
      </c>
      <c r="D32" s="17">
        <f t="shared" ref="D32:I32" si="5">D31</f>
        <v>0</v>
      </c>
      <c r="E32" s="17">
        <f t="shared" si="5"/>
        <v>3500</v>
      </c>
      <c r="F32" s="17">
        <f t="shared" si="5"/>
        <v>0</v>
      </c>
      <c r="G32" s="17">
        <f t="shared" si="5"/>
        <v>3500</v>
      </c>
      <c r="H32" s="17">
        <f t="shared" si="5"/>
        <v>0</v>
      </c>
      <c r="I32" s="17">
        <f t="shared" si="5"/>
        <v>3500</v>
      </c>
    </row>
    <row r="33" spans="1:10" x14ac:dyDescent="0.25">
      <c r="A33" s="12"/>
      <c r="B33" s="12"/>
    </row>
    <row r="34" spans="1:10" x14ac:dyDescent="0.25">
      <c r="A34" s="23"/>
      <c r="B34" s="33" t="s">
        <v>53</v>
      </c>
      <c r="C34" s="17">
        <f>C9+C15+C20+C25+C29+C32</f>
        <v>550900</v>
      </c>
      <c r="D34" s="17">
        <f t="shared" ref="D34:I34" si="6">D9+D15+D20+D25+D29+D32</f>
        <v>475286.82</v>
      </c>
      <c r="E34" s="17">
        <f t="shared" si="6"/>
        <v>546900</v>
      </c>
      <c r="F34" s="17">
        <f>F9+F15+F20+F25+F29+F32</f>
        <v>503391.42</v>
      </c>
      <c r="G34" s="17">
        <f t="shared" si="6"/>
        <v>572900</v>
      </c>
      <c r="H34" s="17">
        <f t="shared" si="6"/>
        <v>491495.09</v>
      </c>
      <c r="I34" s="17">
        <f t="shared" si="6"/>
        <v>572900</v>
      </c>
    </row>
    <row r="35" spans="1:10" x14ac:dyDescent="0.25">
      <c r="A35" s="12"/>
      <c r="B35" s="23"/>
      <c r="C35" s="18"/>
      <c r="D35" s="18"/>
      <c r="E35" s="18"/>
      <c r="F35" s="18"/>
      <c r="G35" s="18"/>
      <c r="H35" s="18"/>
      <c r="I35" s="18"/>
    </row>
    <row r="36" spans="1:10" x14ac:dyDescent="0.25">
      <c r="A36" s="12"/>
      <c r="B36" s="12" t="s">
        <v>86</v>
      </c>
      <c r="C36" s="21">
        <v>139743</v>
      </c>
      <c r="D36" s="21">
        <v>0</v>
      </c>
      <c r="E36" s="21">
        <v>144103.99</v>
      </c>
      <c r="F36" s="21">
        <v>0</v>
      </c>
      <c r="G36" s="21">
        <v>9631.36</v>
      </c>
      <c r="H36" s="21">
        <v>0</v>
      </c>
      <c r="I36" s="21">
        <v>9631.36</v>
      </c>
    </row>
    <row r="37" spans="1:10" x14ac:dyDescent="0.25">
      <c r="A37" s="12"/>
      <c r="B37" s="39" t="s">
        <v>87</v>
      </c>
      <c r="C37" s="20">
        <f t="shared" ref="C37:E37" si="7">C34+C36</f>
        <v>690643</v>
      </c>
      <c r="D37" s="20">
        <f t="shared" si="7"/>
        <v>475286.82</v>
      </c>
      <c r="E37" s="20">
        <f t="shared" si="7"/>
        <v>691003.99</v>
      </c>
      <c r="F37" s="20">
        <f>F34+F36</f>
        <v>503391.42</v>
      </c>
      <c r="G37" s="20">
        <f t="shared" ref="G37:I37" si="8">G34+G36</f>
        <v>582531.36</v>
      </c>
      <c r="H37" s="20">
        <f t="shared" si="8"/>
        <v>491495.09</v>
      </c>
      <c r="I37" s="20">
        <f t="shared" si="8"/>
        <v>582531.36</v>
      </c>
    </row>
    <row r="38" spans="1:10" x14ac:dyDescent="0.25">
      <c r="A38" s="1"/>
      <c r="B38" s="3"/>
      <c r="C38" s="7"/>
      <c r="D38" s="7"/>
      <c r="E38" s="7"/>
      <c r="F38" s="7"/>
      <c r="G38" s="7"/>
      <c r="H38" s="7"/>
      <c r="I38" s="7"/>
    </row>
    <row r="39" spans="1:10" ht="15.75" x14ac:dyDescent="0.25">
      <c r="A39" s="26" t="s">
        <v>30</v>
      </c>
      <c r="B39" s="26"/>
      <c r="C39" s="26"/>
      <c r="D39" s="26"/>
      <c r="E39" s="26"/>
      <c r="F39" s="26"/>
      <c r="G39" s="26"/>
      <c r="H39" s="26"/>
      <c r="I39" s="26"/>
      <c r="J39" s="26"/>
    </row>
    <row r="40" spans="1:10" ht="15.75" x14ac:dyDescent="0.25">
      <c r="A40" s="26" t="s">
        <v>106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ht="15.75" x14ac:dyDescent="0.25">
      <c r="A41" s="26" t="s">
        <v>32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0" x14ac:dyDescent="0.25">
      <c r="D42" s="5"/>
    </row>
    <row r="43" spans="1:10" x14ac:dyDescent="0.25">
      <c r="A43" s="3"/>
      <c r="B43" s="3"/>
      <c r="C43" s="25">
        <v>2022</v>
      </c>
      <c r="D43" s="25"/>
      <c r="E43" s="25">
        <v>2023</v>
      </c>
      <c r="F43" s="25"/>
      <c r="G43" s="25">
        <v>2024</v>
      </c>
      <c r="H43" s="25"/>
      <c r="I43" s="8">
        <v>2025</v>
      </c>
    </row>
    <row r="44" spans="1:10" s="2" customFormat="1" x14ac:dyDescent="0.25">
      <c r="A44" s="3" t="s">
        <v>0</v>
      </c>
      <c r="B44" s="3" t="s">
        <v>1</v>
      </c>
      <c r="C44" s="6" t="s">
        <v>2</v>
      </c>
      <c r="D44" s="6" t="s">
        <v>3</v>
      </c>
      <c r="E44" s="6" t="s">
        <v>2</v>
      </c>
      <c r="F44" s="6" t="s">
        <v>3</v>
      </c>
      <c r="G44" s="6" t="s">
        <v>2</v>
      </c>
      <c r="H44" s="6" t="s">
        <v>4</v>
      </c>
      <c r="I44" s="6" t="s">
        <v>5</v>
      </c>
      <c r="J44"/>
    </row>
    <row r="45" spans="1:10" x14ac:dyDescent="0.25">
      <c r="B45" s="3" t="s">
        <v>8</v>
      </c>
    </row>
    <row r="46" spans="1:10" x14ac:dyDescent="0.25">
      <c r="A46" t="s">
        <v>163</v>
      </c>
      <c r="B46" s="32" t="s">
        <v>165</v>
      </c>
      <c r="C46" s="4">
        <v>98000</v>
      </c>
      <c r="D46" s="4">
        <v>77367.7</v>
      </c>
      <c r="E46" s="4">
        <v>98000</v>
      </c>
      <c r="F46" s="16">
        <v>80558</v>
      </c>
      <c r="G46" s="4">
        <v>80000</v>
      </c>
      <c r="H46" s="4">
        <f>97996.16-10420.5+8454.5</f>
        <v>96030.16</v>
      </c>
      <c r="I46" s="4">
        <v>80000</v>
      </c>
    </row>
    <row r="47" spans="1:10" x14ac:dyDescent="0.25">
      <c r="A47" t="s">
        <v>164</v>
      </c>
      <c r="B47" s="32" t="s">
        <v>166</v>
      </c>
      <c r="C47" s="4">
        <v>50000</v>
      </c>
      <c r="D47" s="4">
        <v>20330.3</v>
      </c>
      <c r="E47" s="4">
        <v>50000</v>
      </c>
      <c r="F47" s="16">
        <v>31022.52</v>
      </c>
      <c r="G47" s="4">
        <v>50000</v>
      </c>
      <c r="H47" s="4">
        <f>75844.39-216.18</f>
        <v>75628.210000000006</v>
      </c>
      <c r="I47" s="4">
        <v>50000</v>
      </c>
    </row>
    <row r="48" spans="1:10" x14ac:dyDescent="0.25">
      <c r="B48" s="11" t="s">
        <v>167</v>
      </c>
      <c r="C48" s="10">
        <f>SUM(C46:C47)</f>
        <v>148000</v>
      </c>
      <c r="D48" s="10">
        <f>SUM(D46:D47)</f>
        <v>97698</v>
      </c>
      <c r="E48" s="10">
        <f>SUM(E46:E47)</f>
        <v>148000</v>
      </c>
      <c r="F48" s="10">
        <f>SUM(F46:F47)</f>
        <v>111580.52</v>
      </c>
      <c r="G48" s="10">
        <f>SUM(G46:G47)</f>
        <v>130000</v>
      </c>
      <c r="H48" s="10">
        <f>SUM(H46:H47)</f>
        <v>171658.37</v>
      </c>
      <c r="I48" s="10">
        <f>SUM(I46:I47)</f>
        <v>130000</v>
      </c>
    </row>
    <row r="49" spans="1:9" x14ac:dyDescent="0.25">
      <c r="F49" s="16"/>
    </row>
    <row r="50" spans="1:9" x14ac:dyDescent="0.25">
      <c r="A50" t="s">
        <v>168</v>
      </c>
      <c r="B50" t="s">
        <v>169</v>
      </c>
      <c r="C50" s="4">
        <v>76000</v>
      </c>
      <c r="D50" s="4">
        <v>171264.42</v>
      </c>
      <c r="E50" s="4">
        <v>76000</v>
      </c>
      <c r="F50" s="16">
        <v>0</v>
      </c>
      <c r="G50" s="4">
        <v>76000</v>
      </c>
      <c r="H50" s="4">
        <v>0</v>
      </c>
      <c r="I50" s="4">
        <v>76000</v>
      </c>
    </row>
    <row r="51" spans="1:9" x14ac:dyDescent="0.25">
      <c r="B51" s="11" t="s">
        <v>170</v>
      </c>
      <c r="C51" s="10">
        <f>C50</f>
        <v>76000</v>
      </c>
      <c r="D51" s="10">
        <f t="shared" ref="D51:I51" si="9">D50</f>
        <v>171264.42</v>
      </c>
      <c r="E51" s="10">
        <f t="shared" si="9"/>
        <v>76000</v>
      </c>
      <c r="F51" s="10">
        <f t="shared" si="9"/>
        <v>0</v>
      </c>
      <c r="G51" s="10">
        <f t="shared" si="9"/>
        <v>76000</v>
      </c>
      <c r="H51" s="10">
        <f t="shared" si="9"/>
        <v>0</v>
      </c>
      <c r="I51" s="10">
        <f t="shared" si="9"/>
        <v>76000</v>
      </c>
    </row>
    <row r="52" spans="1:9" x14ac:dyDescent="0.25">
      <c r="F52" s="16"/>
    </row>
    <row r="53" spans="1:9" x14ac:dyDescent="0.25">
      <c r="A53" t="s">
        <v>171</v>
      </c>
      <c r="B53" t="s">
        <v>175</v>
      </c>
      <c r="C53" s="4">
        <v>45760</v>
      </c>
      <c r="D53" s="4">
        <v>47648.76</v>
      </c>
      <c r="E53" s="4">
        <v>45760</v>
      </c>
      <c r="F53" s="16">
        <v>52337.5</v>
      </c>
      <c r="G53" s="4">
        <v>45760</v>
      </c>
      <c r="H53" s="4">
        <f>18605.5-2528+200</f>
        <v>16277.5</v>
      </c>
      <c r="I53" s="4">
        <v>45760</v>
      </c>
    </row>
    <row r="54" spans="1:9" x14ac:dyDescent="0.25">
      <c r="A54" s="31" t="s">
        <v>172</v>
      </c>
      <c r="B54" t="s">
        <v>176</v>
      </c>
      <c r="C54" s="4">
        <v>2080</v>
      </c>
      <c r="D54" s="4">
        <v>2080</v>
      </c>
      <c r="E54" s="4">
        <v>2080</v>
      </c>
      <c r="F54" s="16">
        <v>0</v>
      </c>
      <c r="G54" s="4">
        <v>0</v>
      </c>
      <c r="H54" s="4">
        <v>0</v>
      </c>
      <c r="I54" s="4">
        <v>0</v>
      </c>
    </row>
    <row r="55" spans="1:9" x14ac:dyDescent="0.25">
      <c r="A55" t="s">
        <v>173</v>
      </c>
      <c r="B55" t="s">
        <v>177</v>
      </c>
      <c r="C55" s="4">
        <v>25000</v>
      </c>
      <c r="D55" s="4">
        <v>242439.88</v>
      </c>
      <c r="E55" s="4">
        <v>25000</v>
      </c>
      <c r="F55" s="16">
        <v>1887.84</v>
      </c>
      <c r="G55" s="4">
        <v>25000</v>
      </c>
      <c r="H55" s="4">
        <v>25824.560000000001</v>
      </c>
      <c r="I55" s="4">
        <v>25000</v>
      </c>
    </row>
    <row r="56" spans="1:9" x14ac:dyDescent="0.25">
      <c r="A56" t="s">
        <v>174</v>
      </c>
      <c r="B56" t="s">
        <v>178</v>
      </c>
      <c r="C56" s="4">
        <v>69880</v>
      </c>
      <c r="D56" s="4">
        <v>91160.4</v>
      </c>
      <c r="E56" s="4">
        <v>69880</v>
      </c>
      <c r="F56" s="16">
        <f>52150.3-731.15</f>
        <v>51419.15</v>
      </c>
      <c r="G56" s="4">
        <v>69880</v>
      </c>
      <c r="H56" s="4">
        <f>74154.42-49.5</f>
        <v>74104.92</v>
      </c>
      <c r="I56" s="4">
        <v>69880</v>
      </c>
    </row>
    <row r="57" spans="1:9" x14ac:dyDescent="0.25">
      <c r="B57" s="11" t="s">
        <v>183</v>
      </c>
      <c r="C57" s="10">
        <f>SUM(C53:C56)</f>
        <v>142720</v>
      </c>
      <c r="D57" s="10">
        <f t="shared" ref="D57:I57" si="10">SUM(D53:D56)</f>
        <v>383329.04000000004</v>
      </c>
      <c r="E57" s="10">
        <f t="shared" si="10"/>
        <v>142720</v>
      </c>
      <c r="F57" s="10">
        <f t="shared" si="10"/>
        <v>105644.48999999999</v>
      </c>
      <c r="G57" s="10">
        <f t="shared" si="10"/>
        <v>140640</v>
      </c>
      <c r="H57" s="10">
        <f t="shared" si="10"/>
        <v>116206.98</v>
      </c>
      <c r="I57" s="10">
        <f t="shared" si="10"/>
        <v>140640</v>
      </c>
    </row>
    <row r="58" spans="1:9" x14ac:dyDescent="0.25">
      <c r="F58" s="16"/>
    </row>
    <row r="59" spans="1:9" x14ac:dyDescent="0.25">
      <c r="A59" t="s">
        <v>179</v>
      </c>
      <c r="B59" t="s">
        <v>181</v>
      </c>
      <c r="C59" s="4">
        <v>88000</v>
      </c>
      <c r="D59" s="4">
        <v>18026.05</v>
      </c>
      <c r="E59" s="4">
        <v>88000</v>
      </c>
      <c r="F59" s="16">
        <v>22733</v>
      </c>
      <c r="G59" s="4">
        <v>68000</v>
      </c>
      <c r="H59" s="4">
        <f>66743.27-23721.5</f>
        <v>43021.770000000004</v>
      </c>
      <c r="I59" s="4">
        <v>68000</v>
      </c>
    </row>
    <row r="60" spans="1:9" x14ac:dyDescent="0.25">
      <c r="A60" t="s">
        <v>180</v>
      </c>
      <c r="B60" t="s">
        <v>182</v>
      </c>
      <c r="C60" s="4">
        <v>46000</v>
      </c>
      <c r="D60" s="4">
        <v>31852.31</v>
      </c>
      <c r="E60" s="4">
        <v>46000</v>
      </c>
      <c r="F60" s="16">
        <f>48465.44-6522.91</f>
        <v>41942.53</v>
      </c>
      <c r="G60" s="4">
        <v>46000</v>
      </c>
      <c r="H60" s="4">
        <f>24312.09-98.5</f>
        <v>24213.59</v>
      </c>
      <c r="I60" s="4">
        <v>46000</v>
      </c>
    </row>
    <row r="61" spans="1:9" x14ac:dyDescent="0.25">
      <c r="B61" s="11" t="s">
        <v>184</v>
      </c>
      <c r="C61" s="10">
        <f>SUM(C59:C60)</f>
        <v>134000</v>
      </c>
      <c r="D61" s="10">
        <f t="shared" ref="D61:I61" si="11">SUM(D59:D60)</f>
        <v>49878.36</v>
      </c>
      <c r="E61" s="10">
        <f t="shared" si="11"/>
        <v>134000</v>
      </c>
      <c r="F61" s="10">
        <f t="shared" si="11"/>
        <v>64675.53</v>
      </c>
      <c r="G61" s="10">
        <f t="shared" si="11"/>
        <v>114000</v>
      </c>
      <c r="H61" s="10">
        <f t="shared" si="11"/>
        <v>67235.360000000001</v>
      </c>
      <c r="I61" s="10">
        <f t="shared" si="11"/>
        <v>114000</v>
      </c>
    </row>
    <row r="62" spans="1:9" x14ac:dyDescent="0.25">
      <c r="F62" s="16"/>
    </row>
    <row r="63" spans="1:9" x14ac:dyDescent="0.25">
      <c r="A63" t="s">
        <v>185</v>
      </c>
      <c r="B63" t="s">
        <v>186</v>
      </c>
      <c r="C63" s="4">
        <v>0</v>
      </c>
      <c r="D63" s="4">
        <v>0</v>
      </c>
      <c r="E63" s="4">
        <v>0</v>
      </c>
      <c r="F63" s="16">
        <v>5328.54</v>
      </c>
      <c r="G63" s="4">
        <v>0</v>
      </c>
      <c r="H63" s="4">
        <f>261585.32-5328.54</f>
        <v>256256.78</v>
      </c>
      <c r="I63" s="4">
        <v>0</v>
      </c>
    </row>
    <row r="64" spans="1:9" x14ac:dyDescent="0.25">
      <c r="B64" s="22" t="s">
        <v>187</v>
      </c>
      <c r="C64" s="10">
        <f>SUM(C63)</f>
        <v>0</v>
      </c>
      <c r="D64" s="10">
        <f t="shared" ref="D64:I64" si="12">SUM(D63)</f>
        <v>0</v>
      </c>
      <c r="E64" s="10">
        <f t="shared" si="12"/>
        <v>0</v>
      </c>
      <c r="F64" s="10">
        <f t="shared" si="12"/>
        <v>5328.54</v>
      </c>
      <c r="G64" s="10">
        <f t="shared" si="12"/>
        <v>0</v>
      </c>
      <c r="H64" s="10">
        <f t="shared" si="12"/>
        <v>256256.78</v>
      </c>
      <c r="I64" s="10">
        <f t="shared" si="12"/>
        <v>0</v>
      </c>
    </row>
    <row r="65" spans="1:10" x14ac:dyDescent="0.25">
      <c r="B65" s="11" t="s">
        <v>188</v>
      </c>
      <c r="C65" s="10">
        <f>C48+C51+C57+C61+C64</f>
        <v>500720</v>
      </c>
      <c r="D65" s="10">
        <f t="shared" ref="D65:I65" si="13">D48+D51+D57+D61+D64</f>
        <v>702169.82000000007</v>
      </c>
      <c r="E65" s="10">
        <f t="shared" si="13"/>
        <v>500720</v>
      </c>
      <c r="F65" s="10">
        <f>F48+F51+F57+F61+F64</f>
        <v>287229.08</v>
      </c>
      <c r="G65" s="10">
        <f t="shared" si="13"/>
        <v>460640</v>
      </c>
      <c r="H65" s="10">
        <f t="shared" si="13"/>
        <v>611357.49</v>
      </c>
      <c r="I65" s="10">
        <f t="shared" si="13"/>
        <v>460640</v>
      </c>
    </row>
    <row r="66" spans="1:10" x14ac:dyDescent="0.25">
      <c r="F66" s="16"/>
    </row>
    <row r="67" spans="1:10" x14ac:dyDescent="0.25">
      <c r="A67" t="s">
        <v>190</v>
      </c>
      <c r="B67" s="31" t="s">
        <v>197</v>
      </c>
      <c r="C67" s="4">
        <v>30000</v>
      </c>
      <c r="D67" s="4">
        <v>20835.22</v>
      </c>
      <c r="E67" s="4">
        <v>30000</v>
      </c>
      <c r="F67" s="16">
        <v>10346.57</v>
      </c>
      <c r="G67" s="4">
        <v>30000</v>
      </c>
      <c r="H67" s="4">
        <v>0</v>
      </c>
      <c r="I67" s="4">
        <v>30000</v>
      </c>
    </row>
    <row r="68" spans="1:10" x14ac:dyDescent="0.25">
      <c r="A68" t="s">
        <v>191</v>
      </c>
      <c r="B68" s="31" t="s">
        <v>198</v>
      </c>
      <c r="C68" s="4">
        <v>27681.62</v>
      </c>
      <c r="D68" s="4">
        <v>9731.9</v>
      </c>
      <c r="E68" s="4">
        <v>27681.62</v>
      </c>
      <c r="F68" s="16">
        <v>9545.86</v>
      </c>
      <c r="G68" s="4">
        <v>15000</v>
      </c>
      <c r="H68" s="4">
        <f>14010.45-2858.65+691.97</f>
        <v>11843.77</v>
      </c>
      <c r="I68" s="4">
        <v>15000</v>
      </c>
    </row>
    <row r="69" spans="1:10" x14ac:dyDescent="0.25">
      <c r="A69" t="s">
        <v>192</v>
      </c>
      <c r="B69" t="s">
        <v>199</v>
      </c>
      <c r="C69" s="4">
        <v>8000</v>
      </c>
      <c r="D69" s="4">
        <v>6444.81</v>
      </c>
      <c r="E69" s="4">
        <v>8000</v>
      </c>
      <c r="F69" s="16">
        <v>6381.36</v>
      </c>
      <c r="G69" s="4">
        <v>6491.36</v>
      </c>
      <c r="H69" s="4">
        <v>0</v>
      </c>
      <c r="I69" s="4">
        <v>6491.36</v>
      </c>
    </row>
    <row r="70" spans="1:10" x14ac:dyDescent="0.25">
      <c r="A70" t="s">
        <v>193</v>
      </c>
      <c r="B70" t="s">
        <v>79</v>
      </c>
      <c r="C70" s="4">
        <v>2000</v>
      </c>
      <c r="D70" s="4">
        <v>0</v>
      </c>
      <c r="E70" s="4">
        <v>2000</v>
      </c>
      <c r="F70" s="16">
        <v>0</v>
      </c>
      <c r="G70" s="4">
        <v>2000</v>
      </c>
      <c r="H70" s="4">
        <v>0</v>
      </c>
      <c r="I70" s="4">
        <v>2000</v>
      </c>
    </row>
    <row r="71" spans="1:10" x14ac:dyDescent="0.25">
      <c r="A71" t="s">
        <v>194</v>
      </c>
      <c r="B71" t="s">
        <v>200</v>
      </c>
      <c r="C71" s="4">
        <v>250</v>
      </c>
      <c r="D71" s="4">
        <v>73.5</v>
      </c>
      <c r="E71" s="4">
        <v>250</v>
      </c>
      <c r="F71" s="16">
        <v>54</v>
      </c>
      <c r="G71" s="4">
        <v>250</v>
      </c>
      <c r="H71" s="4">
        <v>68.900000000000006</v>
      </c>
      <c r="I71" s="4">
        <v>250</v>
      </c>
    </row>
    <row r="72" spans="1:10" x14ac:dyDescent="0.25">
      <c r="A72" t="s">
        <v>195</v>
      </c>
      <c r="B72" t="s">
        <v>201</v>
      </c>
      <c r="C72" s="4">
        <v>97000</v>
      </c>
      <c r="D72" s="4">
        <v>50467.93</v>
      </c>
      <c r="E72" s="4">
        <v>97000</v>
      </c>
      <c r="F72" s="16">
        <v>52604.87</v>
      </c>
      <c r="G72" s="4">
        <v>67000</v>
      </c>
      <c r="H72" s="4">
        <f>2372.71-424.1+101.87+59758.72</f>
        <v>61809.200000000004</v>
      </c>
      <c r="I72" s="4">
        <v>67000</v>
      </c>
    </row>
    <row r="73" spans="1:10" x14ac:dyDescent="0.25">
      <c r="A73" t="s">
        <v>196</v>
      </c>
      <c r="B73" t="s">
        <v>202</v>
      </c>
      <c r="C73" s="4">
        <v>1150</v>
      </c>
      <c r="D73" s="4">
        <v>1250</v>
      </c>
      <c r="E73" s="4">
        <v>1150</v>
      </c>
      <c r="F73" s="16">
        <v>1250</v>
      </c>
      <c r="G73" s="4">
        <v>1150</v>
      </c>
      <c r="H73" s="4">
        <v>0</v>
      </c>
      <c r="I73" s="4">
        <v>1150</v>
      </c>
    </row>
    <row r="74" spans="1:10" x14ac:dyDescent="0.25">
      <c r="B74" s="11" t="s">
        <v>27</v>
      </c>
      <c r="C74" s="10">
        <f>SUM(C67:C73)</f>
        <v>166081.62</v>
      </c>
      <c r="D74" s="10">
        <f>SUM(D67:D73)</f>
        <v>88803.36</v>
      </c>
      <c r="E74" s="10">
        <f>SUM(E67:E73)</f>
        <v>166081.62</v>
      </c>
      <c r="F74" s="10">
        <f>SUM(F67:F73)</f>
        <v>80182.66</v>
      </c>
      <c r="G74" s="10">
        <f>SUM(G67:G73)</f>
        <v>121891.36</v>
      </c>
      <c r="H74" s="10">
        <f>SUM(H67:H73)</f>
        <v>73721.87000000001</v>
      </c>
      <c r="I74" s="10">
        <f>SUM(I67:I73)</f>
        <v>121891.36</v>
      </c>
    </row>
    <row r="75" spans="1:10" x14ac:dyDescent="0.25">
      <c r="B75" s="44"/>
      <c r="C75" s="13"/>
      <c r="D75" s="13"/>
      <c r="E75" s="13"/>
      <c r="F75" s="13"/>
      <c r="G75" s="13"/>
      <c r="H75" s="13"/>
      <c r="I75" s="13"/>
    </row>
    <row r="78" spans="1:10" ht="15.75" x14ac:dyDescent="0.25">
      <c r="A78" s="26" t="s">
        <v>30</v>
      </c>
      <c r="B78" s="26"/>
      <c r="C78" s="26"/>
      <c r="D78" s="26"/>
      <c r="E78" s="26"/>
      <c r="F78" s="26"/>
      <c r="G78" s="26"/>
      <c r="H78" s="26"/>
      <c r="I78" s="26"/>
      <c r="J78" s="26"/>
    </row>
    <row r="79" spans="1:10" ht="15.75" x14ac:dyDescent="0.25">
      <c r="A79" s="26" t="s">
        <v>106</v>
      </c>
      <c r="B79" s="26"/>
      <c r="C79" s="26"/>
      <c r="D79" s="26"/>
      <c r="E79" s="26"/>
      <c r="F79" s="26"/>
      <c r="G79" s="26"/>
      <c r="H79" s="26"/>
      <c r="I79" s="26"/>
      <c r="J79" s="26"/>
    </row>
    <row r="80" spans="1:10" ht="15.75" x14ac:dyDescent="0.25">
      <c r="A80" s="26" t="s">
        <v>32</v>
      </c>
      <c r="B80" s="26"/>
      <c r="C80" s="26"/>
      <c r="D80" s="26"/>
      <c r="E80" s="26"/>
      <c r="F80" s="26"/>
      <c r="G80" s="26"/>
      <c r="H80" s="26"/>
      <c r="I80" s="26"/>
      <c r="J80" s="26"/>
    </row>
    <row r="81" spans="1:10" x14ac:dyDescent="0.25">
      <c r="D81" s="5"/>
    </row>
    <row r="82" spans="1:10" x14ac:dyDescent="0.25">
      <c r="A82" s="3"/>
      <c r="B82" s="3"/>
      <c r="C82" s="25">
        <v>2022</v>
      </c>
      <c r="D82" s="25"/>
      <c r="E82" s="25">
        <v>2023</v>
      </c>
      <c r="F82" s="25"/>
      <c r="G82" s="25">
        <v>2024</v>
      </c>
      <c r="H82" s="25"/>
      <c r="I82" s="8">
        <v>2025</v>
      </c>
    </row>
    <row r="83" spans="1:10" s="2" customFormat="1" x14ac:dyDescent="0.25">
      <c r="A83" s="3" t="s">
        <v>0</v>
      </c>
      <c r="B83" s="3" t="s">
        <v>1</v>
      </c>
      <c r="C83" s="6" t="s">
        <v>2</v>
      </c>
      <c r="D83" s="6" t="s">
        <v>3</v>
      </c>
      <c r="E83" s="6" t="s">
        <v>2</v>
      </c>
      <c r="F83" s="6" t="s">
        <v>3</v>
      </c>
      <c r="G83" s="6" t="s">
        <v>2</v>
      </c>
      <c r="H83" s="6" t="s">
        <v>4</v>
      </c>
      <c r="I83" s="6" t="s">
        <v>5</v>
      </c>
      <c r="J83"/>
    </row>
    <row r="84" spans="1:10" x14ac:dyDescent="0.25">
      <c r="A84" t="s">
        <v>203</v>
      </c>
      <c r="B84" s="45" t="s">
        <v>205</v>
      </c>
      <c r="C84" s="14">
        <v>12281.26</v>
      </c>
      <c r="D84" s="14">
        <v>12281.26</v>
      </c>
      <c r="E84" s="14">
        <v>12711.12</v>
      </c>
      <c r="F84" s="14">
        <v>0</v>
      </c>
      <c r="G84" s="14">
        <v>0</v>
      </c>
      <c r="H84" s="14">
        <v>0</v>
      </c>
      <c r="I84" s="14">
        <v>0</v>
      </c>
    </row>
    <row r="85" spans="1:10" x14ac:dyDescent="0.25">
      <c r="A85" t="s">
        <v>204</v>
      </c>
      <c r="B85" s="45" t="s">
        <v>206</v>
      </c>
      <c r="C85" s="14">
        <v>874.73</v>
      </c>
      <c r="D85" s="14">
        <v>874.73</v>
      </c>
      <c r="E85" s="14">
        <v>444.87</v>
      </c>
      <c r="F85" s="14">
        <v>0</v>
      </c>
      <c r="G85" s="14">
        <v>0</v>
      </c>
      <c r="H85" s="14">
        <v>0</v>
      </c>
      <c r="I85" s="14">
        <v>0</v>
      </c>
    </row>
    <row r="86" spans="1:10" x14ac:dyDescent="0.25">
      <c r="A86" t="s">
        <v>203</v>
      </c>
      <c r="B86" s="45" t="s">
        <v>207</v>
      </c>
      <c r="C86" s="14">
        <v>10311.91</v>
      </c>
      <c r="D86" s="14">
        <v>10311.91</v>
      </c>
      <c r="E86" s="14">
        <v>10672.86</v>
      </c>
      <c r="F86" s="14">
        <v>0</v>
      </c>
      <c r="G86" s="14">
        <v>0</v>
      </c>
      <c r="H86" s="14">
        <v>0</v>
      </c>
      <c r="I86" s="14">
        <v>0</v>
      </c>
    </row>
    <row r="87" spans="1:10" x14ac:dyDescent="0.25">
      <c r="A87" t="s">
        <v>204</v>
      </c>
      <c r="B87" s="45" t="s">
        <v>208</v>
      </c>
      <c r="C87" s="14">
        <v>373.52</v>
      </c>
      <c r="D87" s="14">
        <v>734.47</v>
      </c>
      <c r="E87" s="14">
        <v>373.52</v>
      </c>
      <c r="F87" s="14">
        <v>0</v>
      </c>
      <c r="G87" s="14">
        <v>0</v>
      </c>
      <c r="H87" s="14">
        <v>0</v>
      </c>
      <c r="I87" s="14">
        <v>0</v>
      </c>
    </row>
    <row r="88" spans="1:10" x14ac:dyDescent="0.25">
      <c r="B88" s="11" t="s">
        <v>209</v>
      </c>
      <c r="C88" s="10">
        <f>SUM(C84:C87)</f>
        <v>23841.420000000002</v>
      </c>
      <c r="D88" s="10">
        <f t="shared" ref="D88:I88" si="14">SUM(D84:D87)</f>
        <v>24202.370000000003</v>
      </c>
      <c r="E88" s="10">
        <f t="shared" si="14"/>
        <v>24202.370000000003</v>
      </c>
      <c r="F88" s="10">
        <f t="shared" si="14"/>
        <v>0</v>
      </c>
      <c r="G88" s="10">
        <f t="shared" si="14"/>
        <v>0</v>
      </c>
      <c r="H88" s="10">
        <f t="shared" si="14"/>
        <v>0</v>
      </c>
      <c r="I88" s="10">
        <f t="shared" si="14"/>
        <v>0</v>
      </c>
    </row>
    <row r="89" spans="1:10" x14ac:dyDescent="0.25">
      <c r="B89" s="11" t="s">
        <v>210</v>
      </c>
      <c r="C89" s="10">
        <f>C88</f>
        <v>23841.420000000002</v>
      </c>
      <c r="D89" s="10">
        <f t="shared" ref="D89:I89" si="15">D88</f>
        <v>24202.370000000003</v>
      </c>
      <c r="E89" s="10">
        <f t="shared" si="15"/>
        <v>24202.370000000003</v>
      </c>
      <c r="F89" s="10">
        <f t="shared" si="15"/>
        <v>0</v>
      </c>
      <c r="G89" s="10">
        <f t="shared" si="15"/>
        <v>0</v>
      </c>
      <c r="H89" s="10">
        <f t="shared" si="15"/>
        <v>0</v>
      </c>
      <c r="I89" s="10">
        <f t="shared" si="15"/>
        <v>0</v>
      </c>
    </row>
    <row r="90" spans="1:10" x14ac:dyDescent="0.25">
      <c r="B90" s="11" t="s">
        <v>11</v>
      </c>
      <c r="C90" s="10">
        <f>C65+C74+C89</f>
        <v>690643.04</v>
      </c>
      <c r="D90" s="10">
        <f>D65+D74+D89</f>
        <v>815175.55</v>
      </c>
      <c r="E90" s="10">
        <f>E65+E74+E89</f>
        <v>691003.99</v>
      </c>
      <c r="F90" s="10">
        <f>F65+F74+F89</f>
        <v>367411.74</v>
      </c>
      <c r="G90" s="10">
        <f>G65+G74+G89</f>
        <v>582531.36</v>
      </c>
      <c r="H90" s="10">
        <f>H65+H74+H89</f>
        <v>685079.36</v>
      </c>
      <c r="I90" s="10">
        <f>I65+I74+I89</f>
        <v>582531.36</v>
      </c>
      <c r="J90" s="13"/>
    </row>
  </sheetData>
  <mergeCells count="18">
    <mergeCell ref="A78:J78"/>
    <mergeCell ref="A79:J79"/>
    <mergeCell ref="A80:J80"/>
    <mergeCell ref="C82:D82"/>
    <mergeCell ref="E82:F82"/>
    <mergeCell ref="G82:H82"/>
    <mergeCell ref="A39:J39"/>
    <mergeCell ref="A40:J40"/>
    <mergeCell ref="A41:J41"/>
    <mergeCell ref="C43:D43"/>
    <mergeCell ref="E43:F43"/>
    <mergeCell ref="G43:H43"/>
    <mergeCell ref="A1:J1"/>
    <mergeCell ref="A2:J2"/>
    <mergeCell ref="A3:J3"/>
    <mergeCell ref="C5:D5"/>
    <mergeCell ref="E5:F5"/>
    <mergeCell ref="G5:H5"/>
  </mergeCells>
  <pageMargins left="0.7" right="0.7" top="0.75" bottom="0.75" header="0.3" footer="0.3"/>
  <pageSetup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F0C5-5729-4758-A17E-9783553641DA}">
  <sheetPr>
    <pageSetUpPr fitToPage="1"/>
  </sheetPr>
  <dimension ref="A1:J383"/>
  <sheetViews>
    <sheetView tabSelected="1" workbookViewId="0">
      <pane ySplit="6" topLeftCell="A69" activePane="bottomLeft" state="frozen"/>
      <selection pane="bottomLeft" activeCell="I86" sqref="I86"/>
    </sheetView>
  </sheetViews>
  <sheetFormatPr defaultRowHeight="15" x14ac:dyDescent="0.25"/>
  <cols>
    <col min="1" max="1" width="9" style="12"/>
    <col min="2" max="2" width="28.85546875" customWidth="1"/>
    <col min="3" max="3" width="16.28515625" style="4" customWidth="1"/>
    <col min="4" max="6" width="12.5703125" style="4" customWidth="1"/>
    <col min="7" max="7" width="14.28515625" style="4" customWidth="1"/>
    <col min="8" max="9" width="12.5703125" style="4" bestFit="1" customWidth="1"/>
  </cols>
  <sheetData>
    <row r="1" spans="1:10" ht="15.75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.75" x14ac:dyDescent="0.25">
      <c r="A2" s="26" t="s">
        <v>109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D4" s="5"/>
    </row>
    <row r="5" spans="1:10" x14ac:dyDescent="0.25">
      <c r="A5" s="23"/>
      <c r="B5" s="3"/>
      <c r="C5" s="25">
        <v>2022</v>
      </c>
      <c r="D5" s="25"/>
      <c r="E5" s="25">
        <v>2023</v>
      </c>
      <c r="F5" s="25"/>
      <c r="G5" s="25">
        <v>2024</v>
      </c>
      <c r="H5" s="25"/>
      <c r="I5" s="8">
        <v>2025</v>
      </c>
    </row>
    <row r="6" spans="1:10" s="2" customFormat="1" x14ac:dyDescent="0.25">
      <c r="A6" s="24" t="s">
        <v>0</v>
      </c>
      <c r="B6" s="3" t="s">
        <v>1</v>
      </c>
      <c r="C6" s="6" t="s">
        <v>2</v>
      </c>
      <c r="D6" s="6" t="s">
        <v>3</v>
      </c>
      <c r="E6" s="6" t="s">
        <v>2</v>
      </c>
      <c r="F6" s="6" t="s">
        <v>3</v>
      </c>
      <c r="G6" s="6" t="s">
        <v>2</v>
      </c>
      <c r="H6" s="6" t="s">
        <v>4</v>
      </c>
      <c r="I6" s="6" t="s">
        <v>5</v>
      </c>
      <c r="J6"/>
    </row>
    <row r="7" spans="1:10" x14ac:dyDescent="0.25">
      <c r="B7" s="3" t="s">
        <v>6</v>
      </c>
      <c r="C7" s="7"/>
      <c r="D7" s="7"/>
      <c r="E7" s="7"/>
      <c r="F7" s="7"/>
      <c r="G7" s="7"/>
      <c r="H7" s="7"/>
      <c r="I7" s="7"/>
    </row>
    <row r="8" spans="1:10" x14ac:dyDescent="0.25">
      <c r="A8" s="12" t="s">
        <v>111</v>
      </c>
      <c r="B8" s="1" t="s">
        <v>15</v>
      </c>
      <c r="C8" s="7">
        <v>457510</v>
      </c>
      <c r="D8" s="7">
        <v>407925.9</v>
      </c>
      <c r="E8" s="7">
        <v>457510</v>
      </c>
      <c r="F8" s="7">
        <v>458038.71</v>
      </c>
      <c r="G8" s="7">
        <v>458038.7</v>
      </c>
      <c r="H8" s="7">
        <v>458039</v>
      </c>
      <c r="I8" s="7">
        <v>458038.7</v>
      </c>
    </row>
    <row r="9" spans="1:10" x14ac:dyDescent="0.25">
      <c r="B9" s="9" t="s">
        <v>84</v>
      </c>
      <c r="C9" s="17">
        <f t="shared" ref="C9:I9" si="0">SUM(C8:C8)</f>
        <v>457510</v>
      </c>
      <c r="D9" s="17">
        <f t="shared" si="0"/>
        <v>407925.9</v>
      </c>
      <c r="E9" s="17">
        <f t="shared" si="0"/>
        <v>457510</v>
      </c>
      <c r="F9" s="17">
        <f t="shared" si="0"/>
        <v>458038.71</v>
      </c>
      <c r="G9" s="17">
        <f t="shared" si="0"/>
        <v>458038.7</v>
      </c>
      <c r="H9" s="17">
        <f t="shared" si="0"/>
        <v>458039</v>
      </c>
      <c r="I9" s="17">
        <f t="shared" si="0"/>
        <v>458038.7</v>
      </c>
    </row>
    <row r="10" spans="1:10" x14ac:dyDescent="0.25">
      <c r="C10" s="7"/>
      <c r="D10" s="7"/>
      <c r="E10" s="7"/>
      <c r="F10" s="7"/>
      <c r="G10" s="7"/>
      <c r="H10" s="7"/>
      <c r="I10" s="7"/>
    </row>
    <row r="11" spans="1:10" x14ac:dyDescent="0.25">
      <c r="A11" s="12" t="s">
        <v>110</v>
      </c>
      <c r="B11" t="s">
        <v>112</v>
      </c>
      <c r="C11" s="7">
        <v>10000</v>
      </c>
      <c r="D11" s="7">
        <v>7284.86</v>
      </c>
      <c r="E11" s="7">
        <v>7284.86</v>
      </c>
      <c r="F11" s="7">
        <v>16612.37</v>
      </c>
      <c r="G11" s="7">
        <v>7285</v>
      </c>
      <c r="H11" s="7">
        <v>8634.9599999999991</v>
      </c>
      <c r="I11" s="7">
        <v>7285</v>
      </c>
    </row>
    <row r="12" spans="1:10" x14ac:dyDescent="0.25">
      <c r="A12" s="12" t="s">
        <v>113</v>
      </c>
      <c r="B12" s="1" t="s">
        <v>55</v>
      </c>
      <c r="C12" s="7">
        <v>4000</v>
      </c>
      <c r="D12" s="7">
        <v>2609.14</v>
      </c>
      <c r="E12" s="7">
        <v>4000</v>
      </c>
      <c r="F12" s="7">
        <v>10009.950000000001</v>
      </c>
      <c r="G12" s="7">
        <v>4000</v>
      </c>
      <c r="H12" s="7">
        <v>6754.32</v>
      </c>
      <c r="I12" s="7">
        <v>4000</v>
      </c>
    </row>
    <row r="13" spans="1:10" x14ac:dyDescent="0.25">
      <c r="A13" s="12" t="s">
        <v>114</v>
      </c>
      <c r="B13" s="12" t="s">
        <v>115</v>
      </c>
      <c r="C13" s="7">
        <v>4000</v>
      </c>
      <c r="D13" s="7">
        <v>0</v>
      </c>
      <c r="E13" s="7">
        <v>4000</v>
      </c>
      <c r="F13" s="7">
        <v>3197.26</v>
      </c>
      <c r="G13" s="7">
        <v>4000</v>
      </c>
      <c r="H13" s="28">
        <v>23.9</v>
      </c>
      <c r="I13" s="7">
        <v>4000</v>
      </c>
    </row>
    <row r="14" spans="1:10" x14ac:dyDescent="0.25">
      <c r="A14" s="12" t="s">
        <v>273</v>
      </c>
      <c r="B14" s="12" t="s">
        <v>274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28">
        <v>3082.78</v>
      </c>
      <c r="I14" s="7">
        <v>0</v>
      </c>
    </row>
    <row r="15" spans="1:10" x14ac:dyDescent="0.25">
      <c r="B15" s="9" t="s">
        <v>211</v>
      </c>
      <c r="C15" s="17">
        <f>SUM(C11:C14)</f>
        <v>18000</v>
      </c>
      <c r="D15" s="17">
        <f>SUM(D11:D14)</f>
        <v>9894</v>
      </c>
      <c r="E15" s="17">
        <f>SUM(E11:E14)</f>
        <v>15284.86</v>
      </c>
      <c r="F15" s="17">
        <f>SUM(F11:F14)</f>
        <v>29819.58</v>
      </c>
      <c r="G15" s="17">
        <f>SUM(G11:G14)</f>
        <v>15285</v>
      </c>
      <c r="H15" s="17">
        <f>SUM(H11:H13)</f>
        <v>15413.179999999998</v>
      </c>
      <c r="I15" s="17">
        <f>SUM(I11:I14)</f>
        <v>15285</v>
      </c>
    </row>
    <row r="16" spans="1:10" x14ac:dyDescent="0.25">
      <c r="B16" s="3"/>
      <c r="C16" s="18"/>
      <c r="D16" s="18"/>
      <c r="E16" s="18"/>
      <c r="F16" s="18"/>
      <c r="G16" s="18"/>
      <c r="H16" s="18"/>
      <c r="I16" s="18"/>
    </row>
    <row r="17" spans="1:9" x14ac:dyDescent="0.25">
      <c r="A17" s="12" t="s">
        <v>116</v>
      </c>
      <c r="B17" s="1" t="s">
        <v>117</v>
      </c>
      <c r="C17" s="21">
        <v>50000</v>
      </c>
      <c r="D17" s="21">
        <v>68915.48</v>
      </c>
      <c r="E17" s="21">
        <v>55000</v>
      </c>
      <c r="F17" s="21">
        <v>73515.17</v>
      </c>
      <c r="G17" s="21">
        <v>55000</v>
      </c>
      <c r="H17" s="21">
        <v>53480.03</v>
      </c>
      <c r="I17" s="21">
        <v>55000</v>
      </c>
    </row>
    <row r="18" spans="1:9" x14ac:dyDescent="0.25">
      <c r="A18" s="12" t="s">
        <v>119</v>
      </c>
      <c r="B18" s="1" t="s">
        <v>118</v>
      </c>
      <c r="C18" s="21">
        <v>20000</v>
      </c>
      <c r="D18" s="21">
        <v>17941.88</v>
      </c>
      <c r="E18" s="21">
        <v>20000</v>
      </c>
      <c r="F18" s="21">
        <v>17642.59</v>
      </c>
      <c r="G18" s="21">
        <v>20000</v>
      </c>
      <c r="H18" s="21">
        <v>8523.89</v>
      </c>
      <c r="I18" s="21">
        <v>20000</v>
      </c>
    </row>
    <row r="19" spans="1:9" x14ac:dyDescent="0.25">
      <c r="B19" s="9" t="s">
        <v>120</v>
      </c>
      <c r="C19" s="17">
        <f>SUM(C17:C18)</f>
        <v>70000</v>
      </c>
      <c r="D19" s="17">
        <f t="shared" ref="D19:I19" si="1">SUM(D17:D18)</f>
        <v>86857.36</v>
      </c>
      <c r="E19" s="17">
        <f t="shared" si="1"/>
        <v>75000</v>
      </c>
      <c r="F19" s="17">
        <f t="shared" si="1"/>
        <v>91157.759999999995</v>
      </c>
      <c r="G19" s="17">
        <f t="shared" si="1"/>
        <v>75000</v>
      </c>
      <c r="H19" s="17">
        <f t="shared" si="1"/>
        <v>62003.92</v>
      </c>
      <c r="I19" s="17">
        <f t="shared" si="1"/>
        <v>75000</v>
      </c>
    </row>
    <row r="20" spans="1:9" x14ac:dyDescent="0.25">
      <c r="B20" s="3"/>
      <c r="C20" s="18"/>
      <c r="D20" s="18"/>
      <c r="E20" s="18"/>
      <c r="F20" s="18"/>
      <c r="G20" s="18"/>
      <c r="H20" s="18"/>
      <c r="I20" s="18"/>
    </row>
    <row r="21" spans="1:9" x14ac:dyDescent="0.25">
      <c r="A21" s="12" t="s">
        <v>121</v>
      </c>
      <c r="B21" s="1" t="s">
        <v>122</v>
      </c>
      <c r="C21" s="21">
        <v>400</v>
      </c>
      <c r="D21" s="21">
        <v>210</v>
      </c>
      <c r="E21" s="21">
        <v>400</v>
      </c>
      <c r="F21" s="21">
        <v>112.5</v>
      </c>
      <c r="G21" s="21">
        <v>400</v>
      </c>
      <c r="H21" s="21">
        <v>147.5</v>
      </c>
      <c r="I21" s="21">
        <v>400</v>
      </c>
    </row>
    <row r="22" spans="1:9" x14ac:dyDescent="0.25">
      <c r="A22" s="12" t="s">
        <v>123</v>
      </c>
      <c r="B22" s="1" t="s">
        <v>124</v>
      </c>
      <c r="C22" s="21">
        <v>5000</v>
      </c>
      <c r="D22" s="21">
        <v>5455</v>
      </c>
      <c r="E22" s="21">
        <v>5000</v>
      </c>
      <c r="F22" s="21">
        <v>5090</v>
      </c>
      <c r="G22" s="21">
        <v>5000</v>
      </c>
      <c r="H22" s="21">
        <v>3520</v>
      </c>
      <c r="I22" s="21">
        <v>5000</v>
      </c>
    </row>
    <row r="23" spans="1:9" x14ac:dyDescent="0.25">
      <c r="A23" s="12" t="s">
        <v>125</v>
      </c>
      <c r="B23" s="1" t="s">
        <v>126</v>
      </c>
      <c r="C23" s="21">
        <v>85000</v>
      </c>
      <c r="D23" s="21">
        <v>90917.5</v>
      </c>
      <c r="E23" s="21">
        <v>85000</v>
      </c>
      <c r="F23" s="21">
        <f>103622.89-2560.06</f>
        <v>101062.83</v>
      </c>
      <c r="G23" s="21">
        <v>85000</v>
      </c>
      <c r="H23" s="21">
        <v>64588.57</v>
      </c>
      <c r="I23" s="21">
        <v>85000</v>
      </c>
    </row>
    <row r="24" spans="1:9" x14ac:dyDescent="0.25">
      <c r="A24" s="12" t="s">
        <v>125</v>
      </c>
      <c r="B24" s="1" t="s">
        <v>127</v>
      </c>
      <c r="C24" s="21">
        <v>5000</v>
      </c>
      <c r="D24" s="21">
        <v>2907.55</v>
      </c>
      <c r="E24" s="21">
        <v>3000</v>
      </c>
      <c r="F24" s="21">
        <v>1843.67</v>
      </c>
      <c r="G24" s="21">
        <v>2000</v>
      </c>
      <c r="H24" s="21">
        <v>4314.6000000000004</v>
      </c>
      <c r="I24" s="21">
        <v>2000</v>
      </c>
    </row>
    <row r="25" spans="1:9" x14ac:dyDescent="0.25">
      <c r="A25" s="12" t="s">
        <v>125</v>
      </c>
      <c r="B25" s="1" t="s">
        <v>128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</row>
    <row r="26" spans="1:9" x14ac:dyDescent="0.25">
      <c r="A26" s="12" t="s">
        <v>129</v>
      </c>
      <c r="B26" s="1" t="s">
        <v>130</v>
      </c>
      <c r="C26" s="21">
        <v>19466</v>
      </c>
      <c r="D26" s="21">
        <v>18940</v>
      </c>
      <c r="E26" s="21">
        <v>19466</v>
      </c>
      <c r="F26" s="21">
        <v>19367</v>
      </c>
      <c r="G26" s="21">
        <v>19500</v>
      </c>
      <c r="H26" s="21">
        <v>15550</v>
      </c>
      <c r="I26" s="21">
        <v>19500</v>
      </c>
    </row>
    <row r="27" spans="1:9" x14ac:dyDescent="0.25">
      <c r="A27" s="12" t="s">
        <v>131</v>
      </c>
      <c r="B27" s="1" t="s">
        <v>132</v>
      </c>
      <c r="C27" s="21">
        <v>0</v>
      </c>
      <c r="D27" s="21">
        <v>15702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B28" s="9" t="s">
        <v>133</v>
      </c>
      <c r="C28" s="17">
        <f>SUM(C21:C27)</f>
        <v>114866</v>
      </c>
      <c r="D28" s="17">
        <f t="shared" ref="D28:I28" si="2">SUM(D21:D27)</f>
        <v>134132.04999999999</v>
      </c>
      <c r="E28" s="17">
        <f t="shared" si="2"/>
        <v>112866</v>
      </c>
      <c r="F28" s="17">
        <f t="shared" si="2"/>
        <v>127476</v>
      </c>
      <c r="G28" s="17">
        <f t="shared" si="2"/>
        <v>111900</v>
      </c>
      <c r="H28" s="17">
        <f t="shared" si="2"/>
        <v>88120.670000000013</v>
      </c>
      <c r="I28" s="17">
        <f t="shared" si="2"/>
        <v>111900</v>
      </c>
    </row>
    <row r="30" spans="1:9" x14ac:dyDescent="0.25">
      <c r="A30" s="12" t="s">
        <v>212</v>
      </c>
      <c r="B30" s="12" t="s">
        <v>14</v>
      </c>
      <c r="C30" s="43">
        <v>1000</v>
      </c>
      <c r="D30" s="43">
        <v>9386.0499999999993</v>
      </c>
      <c r="E30" s="43">
        <v>2000</v>
      </c>
      <c r="F30" s="14">
        <v>37612.19</v>
      </c>
      <c r="G30" s="43">
        <v>26000</v>
      </c>
      <c r="H30" s="14">
        <v>19823.060000000001</v>
      </c>
      <c r="I30" s="43">
        <v>26000</v>
      </c>
    </row>
    <row r="31" spans="1:9" x14ac:dyDescent="0.25">
      <c r="A31" s="12" t="s">
        <v>213</v>
      </c>
      <c r="B31" s="12" t="s">
        <v>214</v>
      </c>
      <c r="C31" s="21">
        <v>27000</v>
      </c>
      <c r="D31" s="21">
        <v>28675.86</v>
      </c>
      <c r="E31" s="21">
        <v>29000</v>
      </c>
      <c r="F31" s="21">
        <v>29366.34</v>
      </c>
      <c r="G31" s="21">
        <v>29000</v>
      </c>
      <c r="H31" s="21">
        <v>22375.65</v>
      </c>
      <c r="I31" s="21">
        <v>29000</v>
      </c>
    </row>
    <row r="32" spans="1:9" x14ac:dyDescent="0.25">
      <c r="A32" s="12" t="s">
        <v>215</v>
      </c>
      <c r="B32" s="12" t="s">
        <v>216</v>
      </c>
      <c r="C32" s="21">
        <v>0</v>
      </c>
      <c r="D32" s="21">
        <v>299.58</v>
      </c>
      <c r="E32" s="21">
        <v>0</v>
      </c>
      <c r="F32" s="21">
        <v>264.2</v>
      </c>
      <c r="G32" s="21">
        <v>0</v>
      </c>
      <c r="H32" s="21">
        <v>67</v>
      </c>
      <c r="I32" s="21">
        <v>0</v>
      </c>
    </row>
    <row r="33" spans="1:10" x14ac:dyDescent="0.25">
      <c r="B33" s="9" t="s">
        <v>85</v>
      </c>
      <c r="C33" s="10">
        <f>SUM(C30:C32)</f>
        <v>28000</v>
      </c>
      <c r="D33" s="10">
        <f t="shared" ref="D33:I33" si="3">SUM(D30:D32)</f>
        <v>38361.490000000005</v>
      </c>
      <c r="E33" s="10">
        <f t="shared" si="3"/>
        <v>31000</v>
      </c>
      <c r="F33" s="10">
        <f t="shared" si="3"/>
        <v>67242.73</v>
      </c>
      <c r="G33" s="10">
        <f t="shared" si="3"/>
        <v>55000</v>
      </c>
      <c r="H33" s="10">
        <f t="shared" si="3"/>
        <v>42265.710000000006</v>
      </c>
      <c r="I33" s="10">
        <f t="shared" si="3"/>
        <v>55000</v>
      </c>
    </row>
    <row r="34" spans="1:10" x14ac:dyDescent="0.25">
      <c r="B34" s="1"/>
      <c r="C34" s="18"/>
      <c r="D34" s="18"/>
      <c r="E34" s="18"/>
      <c r="F34" s="18"/>
      <c r="G34" s="18"/>
      <c r="H34" s="18"/>
      <c r="I34" s="18"/>
    </row>
    <row r="35" spans="1:10" x14ac:dyDescent="0.25">
      <c r="A35" s="12" t="s">
        <v>217</v>
      </c>
      <c r="B35" s="1" t="s">
        <v>219</v>
      </c>
      <c r="C35" s="21">
        <v>200</v>
      </c>
      <c r="D35" s="21">
        <v>334</v>
      </c>
      <c r="E35" s="21">
        <v>200</v>
      </c>
      <c r="F35" s="21">
        <v>334</v>
      </c>
      <c r="G35" s="21">
        <v>200</v>
      </c>
      <c r="H35" s="21">
        <v>332</v>
      </c>
      <c r="I35" s="21">
        <v>200</v>
      </c>
    </row>
    <row r="36" spans="1:10" x14ac:dyDescent="0.25">
      <c r="A36" s="12" t="s">
        <v>218</v>
      </c>
      <c r="B36" s="1" t="s">
        <v>220</v>
      </c>
      <c r="C36" s="21">
        <v>8000</v>
      </c>
      <c r="D36" s="21">
        <v>6040.5</v>
      </c>
      <c r="E36" s="21">
        <v>8000</v>
      </c>
      <c r="F36" s="21">
        <v>6648</v>
      </c>
      <c r="G36" s="21">
        <v>8000</v>
      </c>
      <c r="H36" s="21">
        <v>6705</v>
      </c>
      <c r="I36" s="21">
        <v>8000</v>
      </c>
    </row>
    <row r="37" spans="1:10" x14ac:dyDescent="0.25">
      <c r="B37" s="9" t="s">
        <v>221</v>
      </c>
      <c r="C37" s="17">
        <f>SUM(C35:C36)</f>
        <v>8200</v>
      </c>
      <c r="D37" s="17">
        <f t="shared" ref="D37:I37" si="4">SUM(D35:D36)</f>
        <v>6374.5</v>
      </c>
      <c r="E37" s="17">
        <f t="shared" si="4"/>
        <v>8200</v>
      </c>
      <c r="F37" s="17">
        <f t="shared" si="4"/>
        <v>6982</v>
      </c>
      <c r="G37" s="17">
        <f t="shared" si="4"/>
        <v>8200</v>
      </c>
      <c r="H37" s="17">
        <f t="shared" si="4"/>
        <v>7037</v>
      </c>
      <c r="I37" s="17">
        <f t="shared" si="4"/>
        <v>8200</v>
      </c>
    </row>
    <row r="38" spans="1:10" ht="15.75" x14ac:dyDescent="0.25">
      <c r="A38" s="26" t="s">
        <v>30</v>
      </c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5.75" x14ac:dyDescent="0.25">
      <c r="A39" s="26" t="s">
        <v>109</v>
      </c>
      <c r="B39" s="26"/>
      <c r="C39" s="26"/>
      <c r="D39" s="26"/>
      <c r="E39" s="26"/>
      <c r="F39" s="26"/>
      <c r="G39" s="26"/>
      <c r="H39" s="26"/>
      <c r="I39" s="26"/>
      <c r="J39" s="26"/>
    </row>
    <row r="40" spans="1:10" ht="15.75" x14ac:dyDescent="0.25">
      <c r="A40" s="26" t="s">
        <v>32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D41" s="5"/>
    </row>
    <row r="42" spans="1:10" x14ac:dyDescent="0.25">
      <c r="A42" s="23"/>
      <c r="B42" s="3"/>
      <c r="C42" s="25">
        <v>2022</v>
      </c>
      <c r="D42" s="25"/>
      <c r="E42" s="25">
        <v>2023</v>
      </c>
      <c r="F42" s="25"/>
      <c r="G42" s="25">
        <v>2024</v>
      </c>
      <c r="H42" s="25"/>
      <c r="I42" s="8">
        <v>2025</v>
      </c>
    </row>
    <row r="43" spans="1:10" s="2" customFormat="1" x14ac:dyDescent="0.25">
      <c r="A43" s="24" t="s">
        <v>0</v>
      </c>
      <c r="B43" s="3" t="s">
        <v>1</v>
      </c>
      <c r="C43" s="6" t="s">
        <v>2</v>
      </c>
      <c r="D43" s="6" t="s">
        <v>3</v>
      </c>
      <c r="E43" s="6" t="s">
        <v>2</v>
      </c>
      <c r="F43" s="6" t="s">
        <v>3</v>
      </c>
      <c r="G43" s="6" t="s">
        <v>2</v>
      </c>
      <c r="H43" s="6" t="s">
        <v>4</v>
      </c>
      <c r="I43" s="6" t="s">
        <v>5</v>
      </c>
      <c r="J43"/>
    </row>
    <row r="44" spans="1:10" x14ac:dyDescent="0.25">
      <c r="B44" s="1"/>
      <c r="C44" s="18"/>
      <c r="D44" s="18"/>
      <c r="E44" s="18"/>
      <c r="F44" s="18"/>
      <c r="G44" s="18"/>
      <c r="H44" s="18"/>
      <c r="I44" s="18"/>
    </row>
    <row r="45" spans="1:10" x14ac:dyDescent="0.25">
      <c r="A45" s="12" t="s">
        <v>222</v>
      </c>
      <c r="B45" s="29" t="s">
        <v>224</v>
      </c>
      <c r="C45" s="21">
        <v>30000</v>
      </c>
      <c r="D45" s="21">
        <v>33506.54</v>
      </c>
      <c r="E45" s="21">
        <v>30000</v>
      </c>
      <c r="F45" s="21">
        <f>36796-9705</f>
        <v>27091</v>
      </c>
      <c r="G45" s="21">
        <v>30000</v>
      </c>
      <c r="H45" s="21">
        <v>33076</v>
      </c>
      <c r="I45" s="21">
        <v>30000</v>
      </c>
    </row>
    <row r="46" spans="1:10" x14ac:dyDescent="0.25">
      <c r="A46" s="12" t="s">
        <v>223</v>
      </c>
      <c r="B46" s="29" t="s">
        <v>225</v>
      </c>
      <c r="C46" s="43">
        <v>0</v>
      </c>
      <c r="D46" s="43">
        <v>0</v>
      </c>
      <c r="E46" s="43">
        <v>0</v>
      </c>
      <c r="F46" s="43">
        <v>0</v>
      </c>
      <c r="G46" s="43"/>
      <c r="H46" s="43">
        <v>0</v>
      </c>
      <c r="I46" s="43">
        <v>0</v>
      </c>
    </row>
    <row r="47" spans="1:10" x14ac:dyDescent="0.25">
      <c r="B47" s="9" t="s">
        <v>226</v>
      </c>
      <c r="C47" s="10">
        <f>SUM(C45:C46)</f>
        <v>30000</v>
      </c>
      <c r="D47" s="10">
        <f t="shared" ref="D47:I47" si="5">SUM(D45:D46)</f>
        <v>33506.54</v>
      </c>
      <c r="E47" s="10">
        <f t="shared" si="5"/>
        <v>30000</v>
      </c>
      <c r="F47" s="10">
        <f t="shared" si="5"/>
        <v>27091</v>
      </c>
      <c r="G47" s="10">
        <f t="shared" si="5"/>
        <v>30000</v>
      </c>
      <c r="H47" s="10">
        <f t="shared" si="5"/>
        <v>33076</v>
      </c>
      <c r="I47" s="10">
        <f t="shared" si="5"/>
        <v>30000</v>
      </c>
    </row>
    <row r="48" spans="1:10" x14ac:dyDescent="0.25">
      <c r="B48" s="29"/>
    </row>
    <row r="49" spans="1:9" x14ac:dyDescent="0.25">
      <c r="A49" s="12" t="s">
        <v>227</v>
      </c>
      <c r="B49" s="29" t="s">
        <v>232</v>
      </c>
      <c r="C49" s="4">
        <v>0</v>
      </c>
      <c r="D49" s="4">
        <v>100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x14ac:dyDescent="0.25">
      <c r="A50" s="12" t="s">
        <v>228</v>
      </c>
      <c r="B50" s="29" t="s">
        <v>233</v>
      </c>
      <c r="C50" s="4">
        <v>0</v>
      </c>
      <c r="D50" s="4">
        <v>54</v>
      </c>
      <c r="E50" s="4">
        <v>0</v>
      </c>
      <c r="F50" s="4">
        <v>63</v>
      </c>
      <c r="G50" s="4">
        <v>0</v>
      </c>
      <c r="H50" s="4">
        <v>292</v>
      </c>
      <c r="I50" s="4">
        <v>0</v>
      </c>
    </row>
    <row r="51" spans="1:9" x14ac:dyDescent="0.25">
      <c r="A51" s="12" t="s">
        <v>229</v>
      </c>
      <c r="B51" s="29" t="s">
        <v>234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x14ac:dyDescent="0.25">
      <c r="A52" s="12" t="s">
        <v>230</v>
      </c>
      <c r="B52" s="29" t="s">
        <v>235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21590.77</v>
      </c>
      <c r="I52" s="4">
        <v>0</v>
      </c>
    </row>
    <row r="53" spans="1:9" x14ac:dyDescent="0.25">
      <c r="A53" s="12" t="s">
        <v>231</v>
      </c>
      <c r="B53" s="29" t="s">
        <v>236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x14ac:dyDescent="0.25">
      <c r="B54" s="9" t="s">
        <v>237</v>
      </c>
      <c r="C54" s="10">
        <f>SUM(C49:C53)</f>
        <v>0</v>
      </c>
      <c r="D54" s="10">
        <f t="shared" ref="D54:I54" si="6">SUM(D49:D53)</f>
        <v>154</v>
      </c>
      <c r="E54" s="10">
        <f t="shared" si="6"/>
        <v>0</v>
      </c>
      <c r="F54" s="10">
        <f t="shared" si="6"/>
        <v>63</v>
      </c>
      <c r="G54" s="10">
        <f t="shared" si="6"/>
        <v>0</v>
      </c>
      <c r="H54" s="10">
        <f t="shared" si="6"/>
        <v>21882.77</v>
      </c>
      <c r="I54" s="10">
        <f t="shared" si="6"/>
        <v>0</v>
      </c>
    </row>
    <row r="55" spans="1:9" x14ac:dyDescent="0.25">
      <c r="B55" s="29"/>
    </row>
    <row r="56" spans="1:9" x14ac:dyDescent="0.25">
      <c r="A56" s="12" t="s">
        <v>238</v>
      </c>
      <c r="B56" s="29" t="s">
        <v>243</v>
      </c>
      <c r="C56" s="4">
        <v>0</v>
      </c>
      <c r="D56" s="4">
        <v>267.27999999999997</v>
      </c>
      <c r="E56" s="4">
        <v>0</v>
      </c>
      <c r="F56" s="4">
        <v>5044.9799999999996</v>
      </c>
      <c r="G56" s="4">
        <v>0</v>
      </c>
      <c r="H56" s="4">
        <v>303.66000000000003</v>
      </c>
      <c r="I56" s="4">
        <v>0</v>
      </c>
    </row>
    <row r="57" spans="1:9" x14ac:dyDescent="0.25">
      <c r="A57" s="12" t="s">
        <v>239</v>
      </c>
      <c r="B57" s="29" t="s">
        <v>244</v>
      </c>
      <c r="C57" s="4">
        <v>2500</v>
      </c>
      <c r="D57" s="4">
        <v>605</v>
      </c>
      <c r="E57" s="4">
        <v>2500</v>
      </c>
      <c r="F57" s="4">
        <v>0</v>
      </c>
      <c r="G57" s="4">
        <v>2500</v>
      </c>
      <c r="H57" s="4">
        <v>400</v>
      </c>
      <c r="I57" s="4">
        <v>2500</v>
      </c>
    </row>
    <row r="58" spans="1:9" x14ac:dyDescent="0.25">
      <c r="A58" s="12" t="s">
        <v>240</v>
      </c>
      <c r="B58" s="29" t="s">
        <v>245</v>
      </c>
      <c r="C58" s="4">
        <v>0</v>
      </c>
      <c r="D58" s="4">
        <v>1517.2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1:9" x14ac:dyDescent="0.25">
      <c r="A59" s="12" t="s">
        <v>241</v>
      </c>
      <c r="B59" s="29" t="s">
        <v>246</v>
      </c>
      <c r="C59" s="4">
        <v>1000</v>
      </c>
      <c r="D59" s="4">
        <v>55.22</v>
      </c>
      <c r="E59" s="4">
        <v>1000</v>
      </c>
      <c r="F59" s="4">
        <v>12</v>
      </c>
      <c r="G59" s="4">
        <v>1000</v>
      </c>
      <c r="H59" s="4">
        <v>18405.560000000001</v>
      </c>
      <c r="I59" s="4">
        <v>1000</v>
      </c>
    </row>
    <row r="60" spans="1:9" x14ac:dyDescent="0.25">
      <c r="A60" s="12" t="s">
        <v>242</v>
      </c>
      <c r="B60" s="29" t="s">
        <v>247</v>
      </c>
      <c r="C60" s="4">
        <v>0</v>
      </c>
      <c r="D60" s="4">
        <v>20000</v>
      </c>
      <c r="E60" s="4">
        <v>0</v>
      </c>
      <c r="F60" s="4">
        <v>4000</v>
      </c>
      <c r="G60" s="4">
        <v>0</v>
      </c>
      <c r="H60" s="4">
        <v>4500</v>
      </c>
      <c r="I60" s="4">
        <v>0</v>
      </c>
    </row>
    <row r="61" spans="1:9" x14ac:dyDescent="0.25">
      <c r="B61" s="9" t="s">
        <v>248</v>
      </c>
      <c r="C61" s="10">
        <f>SUM(C56:C60)</f>
        <v>3500</v>
      </c>
      <c r="D61" s="10">
        <f t="shared" ref="D61:I61" si="7">SUM(D56:D60)</f>
        <v>22444.7</v>
      </c>
      <c r="E61" s="10">
        <f t="shared" si="7"/>
        <v>3500</v>
      </c>
      <c r="F61" s="10">
        <f t="shared" si="7"/>
        <v>9056.98</v>
      </c>
      <c r="G61" s="10">
        <f t="shared" si="7"/>
        <v>3500</v>
      </c>
      <c r="H61" s="10">
        <f t="shared" si="7"/>
        <v>23609.22</v>
      </c>
      <c r="I61" s="10">
        <f t="shared" si="7"/>
        <v>3500</v>
      </c>
    </row>
    <row r="62" spans="1:9" x14ac:dyDescent="0.25">
      <c r="B62" s="29"/>
    </row>
    <row r="63" spans="1:9" x14ac:dyDescent="0.25">
      <c r="A63" s="12" t="s">
        <v>249</v>
      </c>
      <c r="B63" s="29" t="s">
        <v>260</v>
      </c>
      <c r="C63" s="4">
        <v>0</v>
      </c>
      <c r="D63" s="4">
        <v>28930</v>
      </c>
      <c r="E63" s="4">
        <v>0</v>
      </c>
      <c r="F63" s="4">
        <v>28930</v>
      </c>
      <c r="G63" s="4">
        <v>28930</v>
      </c>
      <c r="H63" s="4">
        <v>0</v>
      </c>
      <c r="I63" s="4">
        <v>28930</v>
      </c>
    </row>
    <row r="64" spans="1:9" x14ac:dyDescent="0.25">
      <c r="A64" s="12" t="s">
        <v>250</v>
      </c>
      <c r="B64" s="29" t="s">
        <v>261</v>
      </c>
      <c r="C64" s="4">
        <v>50000</v>
      </c>
      <c r="D64" s="4">
        <v>33260.129999999997</v>
      </c>
      <c r="E64" s="4">
        <v>50000</v>
      </c>
      <c r="F64" s="4">
        <v>25808.66</v>
      </c>
      <c r="G64" s="4">
        <v>25000</v>
      </c>
      <c r="H64" s="4">
        <v>0</v>
      </c>
      <c r="I64" s="4">
        <v>25000</v>
      </c>
    </row>
    <row r="65" spans="1:10" x14ac:dyDescent="0.25">
      <c r="A65" s="12" t="s">
        <v>251</v>
      </c>
      <c r="B65" s="30" t="s">
        <v>262</v>
      </c>
      <c r="C65" s="4">
        <v>5000</v>
      </c>
      <c r="D65" s="4">
        <v>0</v>
      </c>
      <c r="E65" s="4">
        <v>0</v>
      </c>
      <c r="F65" s="4">
        <v>4472.0200000000004</v>
      </c>
      <c r="G65" s="4">
        <v>0</v>
      </c>
      <c r="H65" s="4">
        <v>0</v>
      </c>
      <c r="I65" s="4">
        <v>0</v>
      </c>
    </row>
    <row r="66" spans="1:10" x14ac:dyDescent="0.25">
      <c r="A66" s="12" t="s">
        <v>252</v>
      </c>
      <c r="B66" s="29" t="s">
        <v>263</v>
      </c>
      <c r="C66" s="4">
        <v>29830</v>
      </c>
      <c r="D66" s="4">
        <v>0</v>
      </c>
      <c r="E66" s="4">
        <v>29830</v>
      </c>
      <c r="F66" s="4">
        <v>0</v>
      </c>
      <c r="G66" s="4">
        <v>30000</v>
      </c>
      <c r="H66" s="4">
        <v>86570.21</v>
      </c>
      <c r="I66" s="4">
        <v>30000</v>
      </c>
    </row>
    <row r="67" spans="1:10" x14ac:dyDescent="0.25">
      <c r="A67" s="12" t="s">
        <v>253</v>
      </c>
      <c r="B67" s="29" t="s">
        <v>264</v>
      </c>
      <c r="C67" s="4">
        <v>1900</v>
      </c>
      <c r="D67" s="4">
        <v>0</v>
      </c>
      <c r="E67" s="4">
        <v>1900</v>
      </c>
      <c r="F67" s="4">
        <v>0</v>
      </c>
      <c r="G67" s="4">
        <v>0</v>
      </c>
      <c r="H67" s="4">
        <v>0</v>
      </c>
      <c r="I67" s="4">
        <v>0</v>
      </c>
    </row>
    <row r="68" spans="1:10" x14ac:dyDescent="0.25">
      <c r="A68" s="12" t="s">
        <v>254</v>
      </c>
      <c r="B68" s="29" t="s">
        <v>265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1:10" x14ac:dyDescent="0.25">
      <c r="A69" s="12" t="s">
        <v>255</v>
      </c>
      <c r="B69" s="30" t="s">
        <v>266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1:10" x14ac:dyDescent="0.25">
      <c r="A70" s="12" t="s">
        <v>256</v>
      </c>
      <c r="B70" s="29" t="s">
        <v>267</v>
      </c>
      <c r="C70" s="4">
        <v>0</v>
      </c>
      <c r="D70" s="4">
        <v>1750</v>
      </c>
      <c r="E70" s="4">
        <v>1750</v>
      </c>
      <c r="F70" s="4">
        <v>14780.85</v>
      </c>
      <c r="G70" s="4">
        <v>0</v>
      </c>
      <c r="H70" s="4">
        <v>0</v>
      </c>
      <c r="I70" s="4">
        <v>0</v>
      </c>
    </row>
    <row r="71" spans="1:10" x14ac:dyDescent="0.25">
      <c r="A71" s="12" t="s">
        <v>257</v>
      </c>
      <c r="B71" s="29" t="s">
        <v>268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1:10" x14ac:dyDescent="0.25">
      <c r="B72" s="9" t="s">
        <v>269</v>
      </c>
      <c r="C72" s="10">
        <f>SUM(C63:C71)</f>
        <v>86730</v>
      </c>
      <c r="D72" s="10">
        <f t="shared" ref="D72:I72" si="8">SUM(D63:D71)</f>
        <v>63940.13</v>
      </c>
      <c r="E72" s="10">
        <f t="shared" si="8"/>
        <v>83480</v>
      </c>
      <c r="F72" s="10">
        <f t="shared" si="8"/>
        <v>73991.530000000013</v>
      </c>
      <c r="G72" s="10">
        <f t="shared" si="8"/>
        <v>83930</v>
      </c>
      <c r="H72" s="10">
        <f t="shared" si="8"/>
        <v>86570.21</v>
      </c>
      <c r="I72" s="10">
        <f t="shared" si="8"/>
        <v>83930</v>
      </c>
    </row>
    <row r="73" spans="1:10" x14ac:dyDescent="0.25">
      <c r="B73" s="29"/>
    </row>
    <row r="75" spans="1:10" ht="15.75" x14ac:dyDescent="0.25">
      <c r="A75" s="26" t="s">
        <v>30</v>
      </c>
      <c r="B75" s="26"/>
      <c r="C75" s="26"/>
      <c r="D75" s="26"/>
      <c r="E75" s="26"/>
      <c r="F75" s="26"/>
      <c r="G75" s="26"/>
      <c r="H75" s="26"/>
      <c r="I75" s="26"/>
      <c r="J75" s="26"/>
    </row>
    <row r="76" spans="1:10" ht="15.75" x14ac:dyDescent="0.25">
      <c r="A76" s="26" t="s">
        <v>109</v>
      </c>
      <c r="B76" s="26"/>
      <c r="C76" s="26"/>
      <c r="D76" s="26"/>
      <c r="E76" s="26"/>
      <c r="F76" s="26"/>
      <c r="G76" s="26"/>
      <c r="H76" s="26"/>
      <c r="I76" s="26"/>
      <c r="J76" s="26"/>
    </row>
    <row r="77" spans="1:10" ht="15.75" x14ac:dyDescent="0.25">
      <c r="A77" s="26" t="s">
        <v>32</v>
      </c>
      <c r="B77" s="26"/>
      <c r="C77" s="26"/>
      <c r="D77" s="26"/>
      <c r="E77" s="26"/>
      <c r="F77" s="26"/>
      <c r="G77" s="26"/>
      <c r="H77" s="26"/>
      <c r="I77" s="26"/>
      <c r="J77" s="26"/>
    </row>
    <row r="78" spans="1:10" x14ac:dyDescent="0.25">
      <c r="D78" s="5"/>
    </row>
    <row r="79" spans="1:10" x14ac:dyDescent="0.25">
      <c r="A79" s="23"/>
      <c r="B79" s="3"/>
      <c r="C79" s="25">
        <v>2022</v>
      </c>
      <c r="D79" s="25"/>
      <c r="E79" s="25">
        <v>2023</v>
      </c>
      <c r="F79" s="25"/>
      <c r="G79" s="25">
        <v>2024</v>
      </c>
      <c r="H79" s="25"/>
      <c r="I79" s="8">
        <v>2025</v>
      </c>
    </row>
    <row r="80" spans="1:10" x14ac:dyDescent="0.25">
      <c r="A80" s="24" t="s">
        <v>0</v>
      </c>
      <c r="B80" s="3" t="s">
        <v>1</v>
      </c>
      <c r="C80" s="6" t="s">
        <v>2</v>
      </c>
      <c r="D80" s="6" t="s">
        <v>3</v>
      </c>
      <c r="E80" s="6" t="s">
        <v>2</v>
      </c>
      <c r="F80" s="6" t="s">
        <v>3</v>
      </c>
      <c r="G80" s="6" t="s">
        <v>2</v>
      </c>
      <c r="H80" s="6" t="s">
        <v>4</v>
      </c>
      <c r="I80" s="6" t="s">
        <v>5</v>
      </c>
    </row>
    <row r="81" spans="1:9" s="51" customFormat="1" x14ac:dyDescent="0.25">
      <c r="A81" s="12" t="s">
        <v>258</v>
      </c>
      <c r="B81" s="29" t="s">
        <v>270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1:9" s="51" customFormat="1" x14ac:dyDescent="0.25">
      <c r="A82" s="12" t="s">
        <v>259</v>
      </c>
      <c r="B82" s="29" t="s">
        <v>271</v>
      </c>
      <c r="C82" s="4">
        <v>55999.82</v>
      </c>
      <c r="D82" s="4">
        <v>12276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1:9" s="51" customFormat="1" x14ac:dyDescent="0.25">
      <c r="A83" s="23"/>
      <c r="B83" s="9" t="s">
        <v>162</v>
      </c>
      <c r="C83" s="10">
        <f>SUM(C81:C82)</f>
        <v>55999.82</v>
      </c>
      <c r="D83" s="10">
        <f t="shared" ref="D83:I83" si="9">SUM(D81:D82)</f>
        <v>12276</v>
      </c>
      <c r="E83" s="10">
        <f t="shared" si="9"/>
        <v>0</v>
      </c>
      <c r="F83" s="10">
        <f t="shared" si="9"/>
        <v>0</v>
      </c>
      <c r="G83" s="10">
        <f t="shared" si="9"/>
        <v>0</v>
      </c>
      <c r="H83" s="10">
        <f t="shared" si="9"/>
        <v>0</v>
      </c>
      <c r="I83" s="10">
        <f t="shared" si="9"/>
        <v>0</v>
      </c>
    </row>
    <row r="84" spans="1:9" s="51" customFormat="1" x14ac:dyDescent="0.25">
      <c r="A84" s="23"/>
      <c r="B84"/>
      <c r="C84" s="4"/>
      <c r="D84" s="4"/>
      <c r="E84" s="4"/>
      <c r="F84" s="4"/>
      <c r="G84" s="4"/>
      <c r="H84" s="4"/>
      <c r="I84" s="4"/>
    </row>
    <row r="85" spans="1:9" s="51" customFormat="1" x14ac:dyDescent="0.25">
      <c r="A85" s="12"/>
      <c r="B85" s="29" t="s">
        <v>272</v>
      </c>
      <c r="C85" s="21">
        <v>30000</v>
      </c>
      <c r="D85" s="21">
        <v>0</v>
      </c>
      <c r="E85" s="21">
        <v>86657.52</v>
      </c>
      <c r="F85" s="21">
        <v>0</v>
      </c>
      <c r="G85" s="21">
        <v>64357.67</v>
      </c>
      <c r="H85" s="21">
        <v>0</v>
      </c>
      <c r="I85" s="21">
        <v>64357.67</v>
      </c>
    </row>
    <row r="86" spans="1:9" x14ac:dyDescent="0.25">
      <c r="B86" s="9" t="s">
        <v>86</v>
      </c>
      <c r="C86" s="17">
        <f>C85</f>
        <v>30000</v>
      </c>
      <c r="D86" s="17">
        <f t="shared" ref="D86:I86" si="10">D85</f>
        <v>0</v>
      </c>
      <c r="E86" s="17">
        <f t="shared" si="10"/>
        <v>86657.52</v>
      </c>
      <c r="F86" s="17">
        <f t="shared" si="10"/>
        <v>0</v>
      </c>
      <c r="G86" s="17">
        <f t="shared" si="10"/>
        <v>64357.67</v>
      </c>
      <c r="H86" s="17">
        <f t="shared" si="10"/>
        <v>0</v>
      </c>
      <c r="I86" s="17">
        <f t="shared" si="10"/>
        <v>64357.67</v>
      </c>
    </row>
    <row r="87" spans="1:9" x14ac:dyDescent="0.25">
      <c r="B87" s="19" t="s">
        <v>87</v>
      </c>
      <c r="C87" s="20">
        <f>C9+C15+C19+C28+C33+C37+C47+C54+C61+C72+C83+C86</f>
        <v>902805.82</v>
      </c>
      <c r="D87" s="20">
        <f>D9+D15+D19+D28+D33+D37+D47+D54+D61+D72+D83+D86</f>
        <v>815866.67</v>
      </c>
      <c r="E87" s="20">
        <f>E9+E15+E19+E28+E33+E37+E47+E54+E61+E72+E83+E86</f>
        <v>903498.38</v>
      </c>
      <c r="F87" s="20">
        <f>F9+F15+F19+F28+F33+F37+F47+F54+F61+F72+F83+F86</f>
        <v>890919.29</v>
      </c>
      <c r="G87" s="20">
        <f>G9+G15+G19+G28+G33+G37+G47+G54+G61+G72+G83+G86</f>
        <v>905211.37</v>
      </c>
      <c r="H87" s="20">
        <f>H9+H15+H19+H28+H33+H37+H47+H54+H61+H72+H83+H86</f>
        <v>838017.67999999993</v>
      </c>
      <c r="I87" s="20">
        <f>I9+I15+I19+I28+I33+I37+I47+I54+I61+I72+I83+I86</f>
        <v>905211.37</v>
      </c>
    </row>
    <row r="88" spans="1:9" x14ac:dyDescent="0.25">
      <c r="B88" s="27"/>
      <c r="C88" s="18"/>
      <c r="D88" s="18"/>
      <c r="E88" s="18"/>
      <c r="F88" s="18"/>
      <c r="G88" s="18"/>
      <c r="H88" s="18"/>
      <c r="I88" s="18"/>
    </row>
    <row r="89" spans="1:9" x14ac:dyDescent="0.25">
      <c r="B89" s="27"/>
      <c r="C89" s="18"/>
      <c r="D89" s="18"/>
      <c r="E89" s="18"/>
      <c r="F89" s="18"/>
      <c r="G89" s="18"/>
      <c r="H89" s="18"/>
      <c r="I89" s="18"/>
    </row>
    <row r="90" spans="1:9" x14ac:dyDescent="0.25">
      <c r="B90" s="27"/>
      <c r="C90" s="18"/>
      <c r="D90" s="18"/>
      <c r="E90" s="18"/>
      <c r="F90" s="18"/>
      <c r="G90" s="18"/>
      <c r="H90" s="18"/>
      <c r="I90" s="18"/>
    </row>
    <row r="91" spans="1:9" x14ac:dyDescent="0.25">
      <c r="B91" s="27"/>
      <c r="C91" s="18"/>
      <c r="D91" s="18"/>
      <c r="E91" s="18"/>
      <c r="F91" s="18"/>
      <c r="G91" s="18"/>
      <c r="H91" s="18"/>
      <c r="I91" s="18"/>
    </row>
    <row r="92" spans="1:9" x14ac:dyDescent="0.25">
      <c r="B92" s="27"/>
      <c r="C92" s="18"/>
      <c r="D92" s="18"/>
      <c r="E92" s="18"/>
      <c r="F92" s="18"/>
      <c r="G92" s="18"/>
      <c r="H92" s="18"/>
      <c r="I92" s="18"/>
    </row>
    <row r="93" spans="1:9" x14ac:dyDescent="0.25">
      <c r="B93" s="27"/>
      <c r="C93" s="18"/>
      <c r="D93" s="18"/>
      <c r="E93" s="18"/>
      <c r="F93" s="18"/>
      <c r="G93" s="18"/>
      <c r="H93" s="18"/>
      <c r="I93" s="18"/>
    </row>
    <row r="94" spans="1:9" x14ac:dyDescent="0.25">
      <c r="B94" s="27"/>
      <c r="C94" s="18"/>
      <c r="D94" s="18"/>
      <c r="E94" s="18"/>
      <c r="F94" s="18"/>
      <c r="G94" s="18"/>
      <c r="H94" s="18"/>
      <c r="I94" s="18"/>
    </row>
    <row r="95" spans="1:9" x14ac:dyDescent="0.25">
      <c r="B95" s="27"/>
      <c r="C95" s="18"/>
      <c r="D95" s="18"/>
      <c r="E95" s="18"/>
      <c r="F95" s="18"/>
      <c r="G95" s="18"/>
      <c r="H95" s="18"/>
      <c r="I95" s="18"/>
    </row>
    <row r="96" spans="1:9" x14ac:dyDescent="0.25">
      <c r="B96" s="27"/>
      <c r="C96" s="18"/>
      <c r="D96" s="18"/>
      <c r="E96" s="18"/>
      <c r="F96" s="18"/>
      <c r="G96" s="18"/>
      <c r="H96" s="18"/>
      <c r="I96" s="18"/>
    </row>
    <row r="97" spans="1:10" x14ac:dyDescent="0.25">
      <c r="B97" s="27"/>
      <c r="C97" s="18"/>
      <c r="D97" s="18"/>
      <c r="E97" s="18"/>
      <c r="F97" s="18"/>
      <c r="G97" s="18"/>
      <c r="H97" s="18"/>
      <c r="I97" s="18"/>
    </row>
    <row r="98" spans="1:10" x14ac:dyDescent="0.25">
      <c r="B98" s="27"/>
      <c r="C98" s="18"/>
      <c r="D98" s="18"/>
      <c r="E98" s="18"/>
      <c r="F98" s="18"/>
      <c r="G98" s="18"/>
      <c r="H98" s="18"/>
      <c r="I98" s="18"/>
    </row>
    <row r="99" spans="1:10" x14ac:dyDescent="0.25">
      <c r="B99" s="27"/>
      <c r="C99" s="18"/>
      <c r="D99" s="18"/>
      <c r="E99" s="18"/>
      <c r="F99" s="18"/>
      <c r="G99" s="18"/>
      <c r="H99" s="18"/>
      <c r="I99" s="18"/>
    </row>
    <row r="100" spans="1:10" x14ac:dyDescent="0.25">
      <c r="B100" s="27"/>
      <c r="C100" s="18"/>
      <c r="D100" s="18"/>
      <c r="E100" s="18"/>
      <c r="F100" s="18"/>
      <c r="G100" s="18"/>
      <c r="H100" s="18"/>
      <c r="I100" s="18"/>
    </row>
    <row r="101" spans="1:10" x14ac:dyDescent="0.25">
      <c r="B101" s="27"/>
      <c r="C101" s="18"/>
      <c r="D101" s="18"/>
      <c r="E101" s="18"/>
      <c r="F101" s="18"/>
      <c r="G101" s="18"/>
      <c r="H101" s="18"/>
      <c r="I101" s="18"/>
    </row>
    <row r="102" spans="1:10" x14ac:dyDescent="0.25">
      <c r="B102" s="27"/>
      <c r="C102" s="18"/>
      <c r="D102" s="18"/>
      <c r="E102" s="18"/>
      <c r="F102" s="18"/>
      <c r="G102" s="18"/>
      <c r="H102" s="18"/>
      <c r="I102" s="18"/>
    </row>
    <row r="103" spans="1:10" x14ac:dyDescent="0.25">
      <c r="B103" s="27"/>
      <c r="C103" s="18"/>
      <c r="D103" s="18"/>
      <c r="E103" s="18"/>
      <c r="F103" s="18"/>
      <c r="G103" s="18"/>
      <c r="H103" s="18"/>
      <c r="I103" s="18"/>
    </row>
    <row r="104" spans="1:10" x14ac:dyDescent="0.25">
      <c r="B104" s="27"/>
      <c r="C104" s="18"/>
      <c r="D104" s="18"/>
      <c r="E104" s="18"/>
      <c r="F104" s="18"/>
      <c r="G104" s="18"/>
      <c r="H104" s="18"/>
      <c r="I104" s="18"/>
    </row>
    <row r="105" spans="1:10" x14ac:dyDescent="0.25">
      <c r="B105" s="27"/>
      <c r="C105" s="18"/>
      <c r="D105" s="18"/>
      <c r="E105" s="18"/>
      <c r="F105" s="18"/>
      <c r="G105" s="18"/>
      <c r="H105" s="18"/>
      <c r="I105" s="18"/>
    </row>
    <row r="106" spans="1:10" x14ac:dyDescent="0.25">
      <c r="B106" s="27"/>
      <c r="C106" s="18"/>
      <c r="D106" s="18"/>
      <c r="E106" s="18"/>
      <c r="F106" s="18"/>
      <c r="G106" s="18"/>
      <c r="H106" s="18"/>
      <c r="I106" s="18"/>
    </row>
    <row r="107" spans="1:10" x14ac:dyDescent="0.25">
      <c r="B107" s="27"/>
      <c r="C107" s="18"/>
      <c r="D107" s="18"/>
      <c r="E107" s="18"/>
      <c r="F107" s="18"/>
      <c r="G107" s="18"/>
      <c r="H107" s="18"/>
      <c r="I107" s="18"/>
    </row>
    <row r="108" spans="1:10" x14ac:dyDescent="0.25">
      <c r="B108" s="27"/>
      <c r="C108" s="18"/>
      <c r="D108" s="18"/>
      <c r="E108" s="18"/>
      <c r="F108" s="18"/>
      <c r="G108" s="18"/>
      <c r="H108" s="18"/>
      <c r="I108" s="18"/>
    </row>
    <row r="109" spans="1:10" x14ac:dyDescent="0.25">
      <c r="B109" s="27"/>
      <c r="C109" s="18"/>
      <c r="D109" s="18"/>
      <c r="E109" s="18"/>
      <c r="F109" s="18"/>
      <c r="G109" s="18"/>
      <c r="H109" s="18"/>
      <c r="I109" s="18"/>
    </row>
    <row r="110" spans="1:10" x14ac:dyDescent="0.25">
      <c r="B110" s="27"/>
      <c r="C110" s="18"/>
      <c r="D110" s="18"/>
      <c r="E110" s="18"/>
      <c r="F110" s="18"/>
      <c r="G110" s="18"/>
      <c r="H110" s="18"/>
      <c r="I110" s="18"/>
    </row>
    <row r="111" spans="1:10" x14ac:dyDescent="0.25">
      <c r="B111" s="27"/>
      <c r="C111" s="18"/>
      <c r="D111" s="18"/>
      <c r="E111" s="18"/>
      <c r="F111" s="18"/>
      <c r="G111" s="18"/>
      <c r="H111" s="18"/>
      <c r="I111" s="18"/>
    </row>
    <row r="112" spans="1:10" ht="15.75" x14ac:dyDescent="0.25">
      <c r="A112" s="26" t="s">
        <v>30</v>
      </c>
      <c r="B112" s="26"/>
      <c r="C112" s="26"/>
      <c r="D112" s="26"/>
      <c r="E112" s="26"/>
      <c r="F112" s="26"/>
      <c r="G112" s="26"/>
      <c r="H112" s="26"/>
      <c r="I112" s="26"/>
      <c r="J112" s="26"/>
    </row>
    <row r="113" spans="1:10" ht="15.75" x14ac:dyDescent="0.25">
      <c r="A113" s="26" t="s">
        <v>109</v>
      </c>
      <c r="B113" s="26"/>
      <c r="C113" s="26"/>
      <c r="D113" s="26"/>
      <c r="E113" s="26"/>
      <c r="F113" s="26"/>
      <c r="G113" s="26"/>
      <c r="H113" s="26"/>
      <c r="I113" s="26"/>
      <c r="J113" s="26"/>
    </row>
    <row r="114" spans="1:10" ht="15.75" x14ac:dyDescent="0.25">
      <c r="A114" s="26" t="s">
        <v>32</v>
      </c>
      <c r="B114" s="26"/>
      <c r="C114" s="26"/>
      <c r="D114" s="26"/>
      <c r="E114" s="26"/>
      <c r="F114" s="26"/>
      <c r="G114" s="26"/>
      <c r="H114" s="26"/>
      <c r="I114" s="26"/>
      <c r="J114" s="26"/>
    </row>
    <row r="115" spans="1:10" x14ac:dyDescent="0.25">
      <c r="D115" s="5"/>
    </row>
    <row r="116" spans="1:10" x14ac:dyDescent="0.25">
      <c r="A116" s="23"/>
      <c r="B116" s="3"/>
      <c r="C116" s="25">
        <v>2022</v>
      </c>
      <c r="D116" s="25"/>
      <c r="E116" s="25">
        <v>2023</v>
      </c>
      <c r="F116" s="25"/>
      <c r="G116" s="25">
        <v>2024</v>
      </c>
      <c r="H116" s="25"/>
      <c r="I116" s="8">
        <v>2025</v>
      </c>
    </row>
    <row r="117" spans="1:10" s="2" customFormat="1" x14ac:dyDescent="0.25">
      <c r="A117" s="24" t="s">
        <v>0</v>
      </c>
      <c r="B117" s="3" t="s">
        <v>1</v>
      </c>
      <c r="C117" s="6" t="s">
        <v>2</v>
      </c>
      <c r="D117" s="6" t="s">
        <v>3</v>
      </c>
      <c r="E117" s="6" t="s">
        <v>2</v>
      </c>
      <c r="F117" s="6" t="s">
        <v>3</v>
      </c>
      <c r="G117" s="6" t="s">
        <v>2</v>
      </c>
      <c r="H117" s="6" t="s">
        <v>4</v>
      </c>
      <c r="I117" s="6" t="s">
        <v>5</v>
      </c>
      <c r="J117"/>
    </row>
    <row r="118" spans="1:10" x14ac:dyDescent="0.25">
      <c r="B118" s="2" t="s">
        <v>279</v>
      </c>
      <c r="D118" s="5"/>
    </row>
    <row r="119" spans="1:10" x14ac:dyDescent="0.25">
      <c r="A119" s="12" t="s">
        <v>275</v>
      </c>
      <c r="B119" t="s">
        <v>277</v>
      </c>
      <c r="C119" s="4">
        <v>15594</v>
      </c>
      <c r="D119" s="4">
        <v>15443.82</v>
      </c>
      <c r="E119" s="4">
        <v>15594</v>
      </c>
      <c r="F119" s="16">
        <f>15593.76-749.7</f>
        <v>14844.06</v>
      </c>
      <c r="G119" s="4">
        <v>15594</v>
      </c>
      <c r="H119" s="4">
        <f>14784.06-3034.8+605.76</f>
        <v>12355.019999999999</v>
      </c>
      <c r="I119" s="4">
        <v>15594</v>
      </c>
    </row>
    <row r="120" spans="1:10" x14ac:dyDescent="0.25">
      <c r="A120" s="12" t="s">
        <v>276</v>
      </c>
      <c r="B120" t="s">
        <v>278</v>
      </c>
      <c r="C120" s="4">
        <v>1000</v>
      </c>
      <c r="D120" s="4">
        <v>0</v>
      </c>
      <c r="E120" s="4">
        <v>1000</v>
      </c>
      <c r="F120" s="16">
        <f>1431.41-1155.76</f>
        <v>275.65000000000009</v>
      </c>
      <c r="G120" s="4">
        <v>1000</v>
      </c>
      <c r="H120" s="4">
        <v>155</v>
      </c>
      <c r="I120" s="4">
        <v>1000</v>
      </c>
    </row>
    <row r="121" spans="1:10" x14ac:dyDescent="0.25">
      <c r="B121" s="11" t="s">
        <v>280</v>
      </c>
      <c r="C121" s="10">
        <f>SUM(C118:C120)</f>
        <v>16594</v>
      </c>
      <c r="D121" s="10">
        <f t="shared" ref="D121:I121" si="11">SUM(D118:D120)</f>
        <v>15443.82</v>
      </c>
      <c r="E121" s="10">
        <f t="shared" si="11"/>
        <v>16594</v>
      </c>
      <c r="F121" s="10">
        <f t="shared" si="11"/>
        <v>15119.71</v>
      </c>
      <c r="G121" s="10">
        <f t="shared" si="11"/>
        <v>16594</v>
      </c>
      <c r="H121" s="10">
        <f t="shared" si="11"/>
        <v>12510.019999999999</v>
      </c>
      <c r="I121" s="10">
        <f t="shared" si="11"/>
        <v>16594</v>
      </c>
    </row>
    <row r="122" spans="1:10" x14ac:dyDescent="0.25">
      <c r="F122" s="16"/>
    </row>
    <row r="123" spans="1:10" x14ac:dyDescent="0.25">
      <c r="A123" s="12" t="s">
        <v>281</v>
      </c>
      <c r="B123" t="s">
        <v>283</v>
      </c>
      <c r="C123" s="4">
        <v>29400</v>
      </c>
      <c r="D123" s="4">
        <v>36862.26</v>
      </c>
      <c r="E123" s="4">
        <v>29400</v>
      </c>
      <c r="F123" s="16">
        <f>29887.76-1800</f>
        <v>28087.759999999998</v>
      </c>
      <c r="G123" s="4">
        <v>29400</v>
      </c>
      <c r="H123" s="4">
        <f>24876.72-6984.56+1130.76</f>
        <v>19022.919999999998</v>
      </c>
      <c r="I123" s="4">
        <v>29400</v>
      </c>
    </row>
    <row r="124" spans="1:10" x14ac:dyDescent="0.25">
      <c r="A124" s="12" t="s">
        <v>281</v>
      </c>
      <c r="B124" t="s">
        <v>284</v>
      </c>
      <c r="C124" s="4">
        <v>25500</v>
      </c>
      <c r="D124" s="4">
        <v>7247.29</v>
      </c>
      <c r="E124" s="4">
        <v>25500</v>
      </c>
      <c r="F124" s="16">
        <f>11665-781.5</f>
        <v>10883.5</v>
      </c>
      <c r="G124" s="4">
        <v>7921</v>
      </c>
      <c r="H124" s="4">
        <f>13105-3573+468</f>
        <v>10000</v>
      </c>
      <c r="I124" s="4">
        <v>7921</v>
      </c>
    </row>
    <row r="125" spans="1:10" x14ac:dyDescent="0.25">
      <c r="A125" s="12" t="s">
        <v>282</v>
      </c>
      <c r="B125" t="s">
        <v>285</v>
      </c>
      <c r="C125" s="4">
        <v>5000</v>
      </c>
      <c r="D125" s="4">
        <v>2774.9</v>
      </c>
      <c r="E125" s="4">
        <v>5000</v>
      </c>
      <c r="F125" s="16">
        <f>5899.48-574.02</f>
        <v>5325.4599999999991</v>
      </c>
      <c r="G125" s="4">
        <v>5000</v>
      </c>
      <c r="H125" s="4">
        <f>5591.41-480+80</f>
        <v>5191.41</v>
      </c>
      <c r="I125" s="4">
        <v>5000</v>
      </c>
    </row>
    <row r="126" spans="1:10" x14ac:dyDescent="0.25">
      <c r="B126" s="11" t="s">
        <v>286</v>
      </c>
      <c r="C126" s="10">
        <f>SUM(C123:C125)</f>
        <v>59900</v>
      </c>
      <c r="D126" s="10">
        <f t="shared" ref="D126:I126" si="12">SUM(D123:D125)</f>
        <v>46884.450000000004</v>
      </c>
      <c r="E126" s="10">
        <f t="shared" si="12"/>
        <v>59900</v>
      </c>
      <c r="F126" s="10">
        <f t="shared" si="12"/>
        <v>44296.719999999994</v>
      </c>
      <c r="G126" s="10">
        <f t="shared" si="12"/>
        <v>42321</v>
      </c>
      <c r="H126" s="10">
        <f t="shared" si="12"/>
        <v>34214.33</v>
      </c>
      <c r="I126" s="10">
        <f t="shared" si="12"/>
        <v>42321</v>
      </c>
    </row>
    <row r="127" spans="1:10" x14ac:dyDescent="0.25">
      <c r="F127" s="16"/>
    </row>
    <row r="128" spans="1:10" x14ac:dyDescent="0.25">
      <c r="A128" s="12" t="s">
        <v>287</v>
      </c>
      <c r="B128" t="s">
        <v>289</v>
      </c>
      <c r="C128" s="4">
        <v>22000</v>
      </c>
      <c r="D128" s="4">
        <v>21999.9</v>
      </c>
      <c r="E128" s="4">
        <v>22000</v>
      </c>
      <c r="F128" s="4">
        <v>21999.9</v>
      </c>
      <c r="G128" s="4">
        <v>22000</v>
      </c>
      <c r="H128" s="4">
        <f>16923-5076.9+846.15</f>
        <v>12692.25</v>
      </c>
      <c r="I128" s="4">
        <v>22000</v>
      </c>
    </row>
    <row r="129" spans="1:9" x14ac:dyDescent="0.25">
      <c r="A129" s="12" t="s">
        <v>288</v>
      </c>
      <c r="B129" t="s">
        <v>290</v>
      </c>
      <c r="C129" s="4">
        <v>500</v>
      </c>
      <c r="D129" s="4">
        <v>561.67999999999995</v>
      </c>
      <c r="E129" s="4">
        <v>500</v>
      </c>
      <c r="F129" s="4">
        <f>571.94-40.88</f>
        <v>531.06000000000006</v>
      </c>
      <c r="G129" s="4">
        <v>500</v>
      </c>
      <c r="H129" s="4">
        <v>746.51</v>
      </c>
      <c r="I129" s="4">
        <v>500</v>
      </c>
    </row>
    <row r="130" spans="1:9" x14ac:dyDescent="0.25">
      <c r="B130" s="11" t="s">
        <v>291</v>
      </c>
      <c r="C130" s="10">
        <f>SUM(C128:C129)</f>
        <v>22500</v>
      </c>
      <c r="D130" s="10">
        <f>SUM(D128:D129)</f>
        <v>22561.58</v>
      </c>
      <c r="E130" s="10">
        <f t="shared" ref="E130:I130" si="13">SUM(E128:E129)</f>
        <v>22500</v>
      </c>
      <c r="F130" s="10">
        <f t="shared" si="13"/>
        <v>22530.960000000003</v>
      </c>
      <c r="G130" s="10">
        <f t="shared" si="13"/>
        <v>22500</v>
      </c>
      <c r="H130" s="10">
        <f t="shared" si="13"/>
        <v>13438.76</v>
      </c>
      <c r="I130" s="10">
        <f t="shared" si="13"/>
        <v>22500</v>
      </c>
    </row>
    <row r="132" spans="1:9" x14ac:dyDescent="0.25">
      <c r="A132" s="12" t="s">
        <v>292</v>
      </c>
      <c r="B132" t="s">
        <v>293</v>
      </c>
      <c r="C132" s="4">
        <v>1000</v>
      </c>
      <c r="D132" s="4">
        <v>0</v>
      </c>
      <c r="E132" s="4">
        <v>1000</v>
      </c>
      <c r="F132" s="4">
        <v>0</v>
      </c>
      <c r="G132" s="4">
        <v>1000</v>
      </c>
      <c r="H132" s="4">
        <v>0</v>
      </c>
      <c r="I132" s="4">
        <v>1000</v>
      </c>
    </row>
    <row r="133" spans="1:9" x14ac:dyDescent="0.25">
      <c r="B133" s="11" t="s">
        <v>294</v>
      </c>
      <c r="C133" s="10">
        <f>SUM(C132)</f>
        <v>1000</v>
      </c>
      <c r="D133" s="10">
        <f t="shared" ref="D133:I133" si="14">SUM(D132)</f>
        <v>0</v>
      </c>
      <c r="E133" s="10">
        <f t="shared" si="14"/>
        <v>1000</v>
      </c>
      <c r="F133" s="10">
        <f t="shared" si="14"/>
        <v>0</v>
      </c>
      <c r="G133" s="10">
        <f t="shared" si="14"/>
        <v>1000</v>
      </c>
      <c r="H133" s="10">
        <f t="shared" si="14"/>
        <v>0</v>
      </c>
      <c r="I133" s="10">
        <f t="shared" si="14"/>
        <v>1000</v>
      </c>
    </row>
    <row r="135" spans="1:9" x14ac:dyDescent="0.25">
      <c r="A135" s="12" t="s">
        <v>295</v>
      </c>
      <c r="B135" t="s">
        <v>296</v>
      </c>
      <c r="C135" s="4">
        <v>2000</v>
      </c>
      <c r="D135" s="4">
        <v>691</v>
      </c>
      <c r="E135" s="4">
        <v>2000</v>
      </c>
      <c r="F135" s="4">
        <v>805</v>
      </c>
      <c r="G135" s="4">
        <v>2000</v>
      </c>
      <c r="H135" s="4">
        <v>0</v>
      </c>
      <c r="I135" s="4">
        <v>2000</v>
      </c>
    </row>
    <row r="136" spans="1:9" x14ac:dyDescent="0.25">
      <c r="B136" s="11" t="s">
        <v>297</v>
      </c>
      <c r="C136" s="10">
        <f>SUM(C135)</f>
        <v>2000</v>
      </c>
      <c r="D136" s="10">
        <f t="shared" ref="D136:G136" si="15">SUM(D135)</f>
        <v>691</v>
      </c>
      <c r="E136" s="10">
        <f t="shared" si="15"/>
        <v>2000</v>
      </c>
      <c r="F136" s="10">
        <f t="shared" si="15"/>
        <v>805</v>
      </c>
      <c r="G136" s="10">
        <f t="shared" si="15"/>
        <v>2000</v>
      </c>
      <c r="H136" s="10">
        <f t="shared" ref="H136" si="16">SUM(H135)</f>
        <v>0</v>
      </c>
      <c r="I136" s="10">
        <f t="shared" ref="I136" si="17">SUM(I135)</f>
        <v>2000</v>
      </c>
    </row>
    <row r="138" spans="1:9" x14ac:dyDescent="0.25">
      <c r="A138" s="12" t="s">
        <v>298</v>
      </c>
      <c r="B138" t="s">
        <v>299</v>
      </c>
      <c r="C138" s="4">
        <v>1000</v>
      </c>
      <c r="D138" s="4">
        <v>999.96</v>
      </c>
      <c r="E138" s="4">
        <v>1000</v>
      </c>
      <c r="F138" s="4">
        <v>999.96</v>
      </c>
      <c r="G138" s="4">
        <v>1000</v>
      </c>
      <c r="H138" s="4">
        <f>769.2-230.76+38.46</f>
        <v>576.90000000000009</v>
      </c>
      <c r="I138" s="4">
        <v>1000</v>
      </c>
    </row>
    <row r="139" spans="1:9" x14ac:dyDescent="0.25">
      <c r="B139" s="11" t="s">
        <v>300</v>
      </c>
      <c r="C139" s="10">
        <f>C138</f>
        <v>1000</v>
      </c>
      <c r="D139" s="10">
        <f t="shared" ref="D139:I139" si="18">D138</f>
        <v>999.96</v>
      </c>
      <c r="E139" s="10">
        <f t="shared" si="18"/>
        <v>1000</v>
      </c>
      <c r="F139" s="10">
        <f t="shared" si="18"/>
        <v>999.96</v>
      </c>
      <c r="G139" s="10">
        <f t="shared" si="18"/>
        <v>1000</v>
      </c>
      <c r="H139" s="10">
        <f t="shared" si="18"/>
        <v>576.90000000000009</v>
      </c>
      <c r="I139" s="10">
        <f t="shared" si="18"/>
        <v>1000</v>
      </c>
    </row>
    <row r="141" spans="1:9" x14ac:dyDescent="0.25">
      <c r="A141" s="12" t="s">
        <v>301</v>
      </c>
      <c r="B141" t="s">
        <v>302</v>
      </c>
      <c r="C141" s="4">
        <v>21000</v>
      </c>
      <c r="D141" s="4">
        <v>33311.06</v>
      </c>
      <c r="E141" s="4">
        <v>25000</v>
      </c>
      <c r="F141" s="4">
        <f>19970.02-2453.86</f>
        <v>17516.16</v>
      </c>
      <c r="G141" s="4">
        <v>25000</v>
      </c>
      <c r="H141" s="4">
        <v>16850.66</v>
      </c>
      <c r="I141" s="4">
        <v>25000</v>
      </c>
    </row>
    <row r="142" spans="1:9" x14ac:dyDescent="0.25">
      <c r="B142" s="11" t="s">
        <v>303</v>
      </c>
      <c r="C142" s="10">
        <f>C141</f>
        <v>21000</v>
      </c>
      <c r="D142" s="10">
        <f t="shared" ref="D142:I142" si="19">D141</f>
        <v>33311.06</v>
      </c>
      <c r="E142" s="10">
        <f t="shared" si="19"/>
        <v>25000</v>
      </c>
      <c r="F142" s="10">
        <f t="shared" si="19"/>
        <v>17516.16</v>
      </c>
      <c r="G142" s="10">
        <f t="shared" si="19"/>
        <v>25000</v>
      </c>
      <c r="H142" s="10">
        <f t="shared" si="19"/>
        <v>16850.66</v>
      </c>
      <c r="I142" s="10">
        <f t="shared" si="19"/>
        <v>25000</v>
      </c>
    </row>
    <row r="144" spans="1:9" x14ac:dyDescent="0.25">
      <c r="A144" s="12" t="s">
        <v>304</v>
      </c>
      <c r="B144" t="s">
        <v>305</v>
      </c>
      <c r="C144" s="4">
        <v>100</v>
      </c>
      <c r="D144" s="4">
        <v>164</v>
      </c>
      <c r="E144" s="4">
        <v>100</v>
      </c>
      <c r="F144" s="4">
        <v>94</v>
      </c>
      <c r="G144" s="4">
        <v>100</v>
      </c>
      <c r="H144" s="4">
        <v>0</v>
      </c>
      <c r="I144" s="4">
        <v>100</v>
      </c>
    </row>
    <row r="145" spans="1:10" x14ac:dyDescent="0.25">
      <c r="B145" s="11" t="s">
        <v>306</v>
      </c>
      <c r="C145" s="10">
        <f>C144</f>
        <v>100</v>
      </c>
      <c r="D145" s="10">
        <f t="shared" ref="D145:I145" si="20">D144</f>
        <v>164</v>
      </c>
      <c r="E145" s="10">
        <f t="shared" si="20"/>
        <v>100</v>
      </c>
      <c r="F145" s="10">
        <f t="shared" si="20"/>
        <v>94</v>
      </c>
      <c r="G145" s="10">
        <f t="shared" si="20"/>
        <v>100</v>
      </c>
      <c r="H145" s="10">
        <f t="shared" si="20"/>
        <v>0</v>
      </c>
      <c r="I145" s="10">
        <f t="shared" si="20"/>
        <v>100</v>
      </c>
    </row>
    <row r="149" spans="1:10" ht="15.75" x14ac:dyDescent="0.25">
      <c r="A149" s="26" t="s">
        <v>30</v>
      </c>
      <c r="B149" s="26"/>
      <c r="C149" s="26"/>
      <c r="D149" s="26"/>
      <c r="E149" s="26"/>
      <c r="F149" s="26"/>
      <c r="G149" s="26"/>
      <c r="H149" s="26"/>
      <c r="I149" s="26"/>
      <c r="J149" s="26"/>
    </row>
    <row r="150" spans="1:10" ht="15.75" x14ac:dyDescent="0.25">
      <c r="A150" s="26" t="s">
        <v>109</v>
      </c>
      <c r="B150" s="26"/>
      <c r="C150" s="26"/>
      <c r="D150" s="26"/>
      <c r="E150" s="26"/>
      <c r="F150" s="26"/>
      <c r="G150" s="26"/>
      <c r="H150" s="26"/>
      <c r="I150" s="26"/>
      <c r="J150" s="26"/>
    </row>
    <row r="151" spans="1:10" ht="15.75" x14ac:dyDescent="0.25">
      <c r="A151" s="26" t="s">
        <v>32</v>
      </c>
      <c r="B151" s="26"/>
      <c r="C151" s="26"/>
      <c r="D151" s="26"/>
      <c r="E151" s="26"/>
      <c r="F151" s="26"/>
      <c r="G151" s="26"/>
      <c r="H151" s="26"/>
      <c r="I151" s="26"/>
      <c r="J151" s="26"/>
    </row>
    <row r="152" spans="1:10" x14ac:dyDescent="0.25">
      <c r="D152" s="5"/>
    </row>
    <row r="153" spans="1:10" x14ac:dyDescent="0.25">
      <c r="A153" s="23"/>
      <c r="B153" s="3"/>
      <c r="C153" s="25">
        <v>2022</v>
      </c>
      <c r="D153" s="25"/>
      <c r="E153" s="25">
        <v>2023</v>
      </c>
      <c r="F153" s="25"/>
      <c r="G153" s="25">
        <v>2024</v>
      </c>
      <c r="H153" s="25"/>
      <c r="I153" s="8">
        <v>2025</v>
      </c>
    </row>
    <row r="154" spans="1:10" s="2" customFormat="1" x14ac:dyDescent="0.25">
      <c r="A154" s="24" t="s">
        <v>0</v>
      </c>
      <c r="B154" s="3" t="s">
        <v>1</v>
      </c>
      <c r="C154" s="6" t="s">
        <v>2</v>
      </c>
      <c r="D154" s="6" t="s">
        <v>3</v>
      </c>
      <c r="E154" s="6" t="s">
        <v>2</v>
      </c>
      <c r="F154" s="6" t="s">
        <v>3</v>
      </c>
      <c r="G154" s="6" t="s">
        <v>2</v>
      </c>
      <c r="H154" s="6" t="s">
        <v>4</v>
      </c>
      <c r="I154" s="6" t="s">
        <v>5</v>
      </c>
      <c r="J154"/>
    </row>
    <row r="155" spans="1:10" x14ac:dyDescent="0.25">
      <c r="A155" s="12" t="s">
        <v>307</v>
      </c>
      <c r="B155" t="s">
        <v>309</v>
      </c>
      <c r="C155" s="4">
        <v>16500</v>
      </c>
      <c r="D155" s="4">
        <v>16860.98</v>
      </c>
      <c r="E155" s="4">
        <v>20000</v>
      </c>
      <c r="F155" s="4">
        <v>19999.98</v>
      </c>
      <c r="G155" s="4">
        <v>20000</v>
      </c>
      <c r="H155" s="4">
        <f>16923.06-4615.38+769.23</f>
        <v>13076.91</v>
      </c>
      <c r="I155" s="4">
        <v>20000</v>
      </c>
    </row>
    <row r="156" spans="1:10" x14ac:dyDescent="0.25">
      <c r="A156" s="12" t="s">
        <v>307</v>
      </c>
      <c r="B156" t="s">
        <v>310</v>
      </c>
      <c r="C156" s="4">
        <v>3000</v>
      </c>
      <c r="D156" s="4">
        <v>663.75</v>
      </c>
      <c r="E156" s="4">
        <v>3000</v>
      </c>
      <c r="F156" s="4">
        <v>0</v>
      </c>
      <c r="G156" s="4">
        <v>3000</v>
      </c>
      <c r="H156" s="4">
        <f>100+30</f>
        <v>130</v>
      </c>
      <c r="I156" s="4">
        <v>3000</v>
      </c>
    </row>
    <row r="157" spans="1:10" x14ac:dyDescent="0.25">
      <c r="A157" s="12" t="s">
        <v>308</v>
      </c>
      <c r="B157" t="s">
        <v>311</v>
      </c>
      <c r="C157" s="4">
        <v>2000</v>
      </c>
      <c r="D157" s="4">
        <v>1836.95</v>
      </c>
      <c r="E157" s="4">
        <v>2000</v>
      </c>
      <c r="F157" s="4">
        <v>2989.01</v>
      </c>
      <c r="G157" s="4">
        <v>2000</v>
      </c>
      <c r="H157" s="4">
        <v>402.41</v>
      </c>
      <c r="I157" s="4">
        <v>2000</v>
      </c>
    </row>
    <row r="158" spans="1:10" x14ac:dyDescent="0.25">
      <c r="B158" s="11" t="s">
        <v>312</v>
      </c>
      <c r="C158" s="10">
        <f>SUM(C155:C157)</f>
        <v>21500</v>
      </c>
      <c r="D158" s="10">
        <f t="shared" ref="D158:I158" si="21">SUM(D155:D157)</f>
        <v>19361.68</v>
      </c>
      <c r="E158" s="10">
        <f t="shared" si="21"/>
        <v>25000</v>
      </c>
      <c r="F158" s="10">
        <f t="shared" si="21"/>
        <v>22988.989999999998</v>
      </c>
      <c r="G158" s="10">
        <f t="shared" si="21"/>
        <v>25000</v>
      </c>
      <c r="H158" s="10">
        <f t="shared" si="21"/>
        <v>13609.32</v>
      </c>
      <c r="I158" s="10">
        <f t="shared" si="21"/>
        <v>25000</v>
      </c>
    </row>
    <row r="160" spans="1:10" x14ac:dyDescent="0.25">
      <c r="A160" s="12" t="s">
        <v>313</v>
      </c>
      <c r="B160" t="s">
        <v>314</v>
      </c>
      <c r="C160" s="4">
        <v>2000</v>
      </c>
      <c r="D160" s="4">
        <v>43.76</v>
      </c>
      <c r="E160" s="4">
        <v>2000</v>
      </c>
      <c r="F160" s="4">
        <f>810-405</f>
        <v>405</v>
      </c>
      <c r="G160" s="4">
        <v>0</v>
      </c>
      <c r="H160" s="4">
        <v>2288</v>
      </c>
      <c r="I160" s="4">
        <v>0</v>
      </c>
    </row>
    <row r="161" spans="1:9" x14ac:dyDescent="0.25">
      <c r="B161" s="11" t="s">
        <v>315</v>
      </c>
      <c r="C161" s="10">
        <f>C160</f>
        <v>2000</v>
      </c>
      <c r="D161" s="10">
        <f t="shared" ref="D161:I161" si="22">D160</f>
        <v>43.76</v>
      </c>
      <c r="E161" s="10">
        <f t="shared" si="22"/>
        <v>2000</v>
      </c>
      <c r="F161" s="10">
        <f t="shared" si="22"/>
        <v>405</v>
      </c>
      <c r="G161" s="10">
        <f t="shared" si="22"/>
        <v>0</v>
      </c>
      <c r="H161" s="10">
        <f t="shared" si="22"/>
        <v>2288</v>
      </c>
      <c r="I161" s="10">
        <f t="shared" si="22"/>
        <v>0</v>
      </c>
    </row>
    <row r="163" spans="1:9" x14ac:dyDescent="0.25">
      <c r="A163" s="12" t="s">
        <v>316</v>
      </c>
      <c r="B163" t="s">
        <v>318</v>
      </c>
      <c r="C163" s="4">
        <v>52000</v>
      </c>
      <c r="D163" s="4">
        <v>39545.06</v>
      </c>
      <c r="E163" s="4">
        <v>48500</v>
      </c>
      <c r="F163" s="4">
        <v>41359.58</v>
      </c>
      <c r="G163" s="4">
        <v>48500</v>
      </c>
      <c r="H163" s="4">
        <f>43907.84-11768.28+1865.38</f>
        <v>34004.939999999995</v>
      </c>
      <c r="I163" s="4">
        <v>48500</v>
      </c>
    </row>
    <row r="164" spans="1:9" x14ac:dyDescent="0.25">
      <c r="A164" s="12" t="s">
        <v>316</v>
      </c>
      <c r="B164" t="s">
        <v>319</v>
      </c>
      <c r="C164" s="4">
        <v>13000</v>
      </c>
      <c r="D164" s="4">
        <v>12543.75</v>
      </c>
      <c r="E164" s="4">
        <v>13000</v>
      </c>
      <c r="F164" s="4">
        <v>14080</v>
      </c>
      <c r="G164" s="4">
        <v>13000</v>
      </c>
      <c r="H164" s="4">
        <f>21122-5049+1140</f>
        <v>17213</v>
      </c>
      <c r="I164" s="4">
        <v>13000</v>
      </c>
    </row>
    <row r="165" spans="1:9" x14ac:dyDescent="0.25">
      <c r="A165" s="12" t="s">
        <v>317</v>
      </c>
      <c r="B165" t="s">
        <v>320</v>
      </c>
      <c r="C165" s="4">
        <v>1000</v>
      </c>
      <c r="D165" s="4">
        <v>826.99</v>
      </c>
      <c r="E165" s="4">
        <v>1000</v>
      </c>
      <c r="F165" s="4">
        <v>879</v>
      </c>
      <c r="G165" s="4">
        <v>1000</v>
      </c>
      <c r="H165" s="4">
        <f>4931.99-150.29</f>
        <v>4781.7</v>
      </c>
      <c r="I165" s="4">
        <v>1000</v>
      </c>
    </row>
    <row r="166" spans="1:9" x14ac:dyDescent="0.25">
      <c r="B166" s="11" t="s">
        <v>321</v>
      </c>
      <c r="C166" s="10">
        <f>SUM(C163:C165)</f>
        <v>66000</v>
      </c>
      <c r="D166" s="10">
        <f t="shared" ref="D166:I166" si="23">SUM(D163:D165)</f>
        <v>52915.799999999996</v>
      </c>
      <c r="E166" s="10">
        <f t="shared" si="23"/>
        <v>62500</v>
      </c>
      <c r="F166" s="10">
        <f t="shared" si="23"/>
        <v>56318.58</v>
      </c>
      <c r="G166" s="10">
        <f t="shared" si="23"/>
        <v>62500</v>
      </c>
      <c r="H166" s="10">
        <f t="shared" si="23"/>
        <v>55999.639999999992</v>
      </c>
      <c r="I166" s="10">
        <f t="shared" si="23"/>
        <v>62500</v>
      </c>
    </row>
    <row r="168" spans="1:9" x14ac:dyDescent="0.25">
      <c r="A168" s="12" t="s">
        <v>322</v>
      </c>
      <c r="B168" t="s">
        <v>323</v>
      </c>
      <c r="C168" s="4">
        <v>1000</v>
      </c>
      <c r="D168" s="4">
        <v>0</v>
      </c>
      <c r="E168" s="4">
        <v>3000</v>
      </c>
      <c r="F168" s="4">
        <v>0</v>
      </c>
      <c r="G168" s="4">
        <v>3000</v>
      </c>
      <c r="H168" s="4">
        <v>47149.32</v>
      </c>
      <c r="I168" s="4">
        <v>3000</v>
      </c>
    </row>
    <row r="169" spans="1:9" x14ac:dyDescent="0.25">
      <c r="B169" s="11" t="s">
        <v>324</v>
      </c>
      <c r="C169" s="10">
        <f>C168</f>
        <v>1000</v>
      </c>
      <c r="D169" s="10">
        <f t="shared" ref="D169:I169" si="24">D168</f>
        <v>0</v>
      </c>
      <c r="E169" s="10">
        <f t="shared" si="24"/>
        <v>3000</v>
      </c>
      <c r="F169" s="10">
        <f t="shared" si="24"/>
        <v>0</v>
      </c>
      <c r="G169" s="10">
        <f t="shared" si="24"/>
        <v>3000</v>
      </c>
      <c r="H169" s="10">
        <f t="shared" si="24"/>
        <v>47149.32</v>
      </c>
      <c r="I169" s="10">
        <f t="shared" si="24"/>
        <v>3000</v>
      </c>
    </row>
    <row r="171" spans="1:9" x14ac:dyDescent="0.25">
      <c r="A171" s="12" t="s">
        <v>325</v>
      </c>
      <c r="B171" t="s">
        <v>326</v>
      </c>
      <c r="C171" s="4">
        <v>400</v>
      </c>
      <c r="D171" s="4">
        <v>137.94</v>
      </c>
      <c r="E171" s="4">
        <v>400</v>
      </c>
      <c r="F171" s="4">
        <v>58.03</v>
      </c>
      <c r="G171" s="4">
        <v>400</v>
      </c>
      <c r="H171" s="4">
        <v>0</v>
      </c>
      <c r="I171" s="4">
        <v>400</v>
      </c>
    </row>
    <row r="172" spans="1:9" x14ac:dyDescent="0.25">
      <c r="B172" s="11" t="s">
        <v>327</v>
      </c>
      <c r="C172" s="10">
        <f>C171</f>
        <v>400</v>
      </c>
      <c r="D172" s="10">
        <f t="shared" ref="D172:I172" si="25">D171</f>
        <v>137.94</v>
      </c>
      <c r="E172" s="10">
        <f t="shared" si="25"/>
        <v>400</v>
      </c>
      <c r="F172" s="10">
        <f t="shared" si="25"/>
        <v>58.03</v>
      </c>
      <c r="G172" s="10">
        <f t="shared" si="25"/>
        <v>400</v>
      </c>
      <c r="H172" s="10">
        <f t="shared" si="25"/>
        <v>0</v>
      </c>
      <c r="I172" s="10">
        <f t="shared" si="25"/>
        <v>400</v>
      </c>
    </row>
    <row r="174" spans="1:9" x14ac:dyDescent="0.25">
      <c r="A174" s="12" t="s">
        <v>328</v>
      </c>
      <c r="B174" t="s">
        <v>329</v>
      </c>
      <c r="C174" s="4">
        <v>30000</v>
      </c>
      <c r="D174" s="4">
        <v>0</v>
      </c>
      <c r="E174" s="4">
        <v>30000</v>
      </c>
      <c r="F174" s="4">
        <v>0</v>
      </c>
      <c r="G174" s="4">
        <v>25000</v>
      </c>
      <c r="H174" s="4">
        <v>0</v>
      </c>
      <c r="I174" s="4">
        <v>25000</v>
      </c>
    </row>
    <row r="175" spans="1:9" x14ac:dyDescent="0.25">
      <c r="B175" s="11" t="s">
        <v>330</v>
      </c>
      <c r="C175" s="10">
        <f>C174</f>
        <v>30000</v>
      </c>
      <c r="D175" s="10">
        <f t="shared" ref="D175:I175" si="26">D174</f>
        <v>0</v>
      </c>
      <c r="E175" s="10">
        <f t="shared" si="26"/>
        <v>30000</v>
      </c>
      <c r="F175" s="10">
        <f t="shared" si="26"/>
        <v>0</v>
      </c>
      <c r="G175" s="10">
        <f t="shared" si="26"/>
        <v>25000</v>
      </c>
      <c r="H175" s="10">
        <f t="shared" si="26"/>
        <v>0</v>
      </c>
      <c r="I175" s="10">
        <f t="shared" si="26"/>
        <v>25000</v>
      </c>
    </row>
    <row r="177" spans="1:10" x14ac:dyDescent="0.25">
      <c r="A177" s="12" t="s">
        <v>331</v>
      </c>
      <c r="B177" t="s">
        <v>334</v>
      </c>
      <c r="C177" s="4">
        <v>5100</v>
      </c>
      <c r="D177" s="4">
        <v>180</v>
      </c>
      <c r="E177" s="4">
        <v>2000</v>
      </c>
      <c r="F177" s="4">
        <v>440</v>
      </c>
      <c r="G177" s="4">
        <v>2000</v>
      </c>
      <c r="H177" s="4">
        <f>3802.66-768+160</f>
        <v>3194.66</v>
      </c>
      <c r="I177" s="4">
        <v>2000</v>
      </c>
    </row>
    <row r="178" spans="1:10" x14ac:dyDescent="0.25">
      <c r="A178" s="12" t="s">
        <v>332</v>
      </c>
      <c r="B178" t="s">
        <v>335</v>
      </c>
      <c r="C178" s="4">
        <v>1000</v>
      </c>
      <c r="D178" s="4">
        <v>0</v>
      </c>
      <c r="E178" s="4">
        <v>1000</v>
      </c>
      <c r="F178" s="4">
        <v>179.98</v>
      </c>
      <c r="G178" s="4">
        <v>1000</v>
      </c>
      <c r="H178" s="4">
        <v>0</v>
      </c>
      <c r="I178" s="4">
        <v>1000</v>
      </c>
    </row>
    <row r="179" spans="1:10" x14ac:dyDescent="0.25">
      <c r="A179" s="12" t="s">
        <v>333</v>
      </c>
      <c r="B179" t="s">
        <v>336</v>
      </c>
      <c r="C179" s="4">
        <v>15000</v>
      </c>
      <c r="D179" s="4">
        <v>24633.02</v>
      </c>
      <c r="E179" s="4">
        <v>23000</v>
      </c>
      <c r="F179" s="4">
        <f>20800.99-3472.63</f>
        <v>17328.36</v>
      </c>
      <c r="G179" s="4">
        <v>23000</v>
      </c>
      <c r="H179" s="4">
        <f>14818-195.82</f>
        <v>14622.18</v>
      </c>
      <c r="I179" s="4">
        <v>23000</v>
      </c>
    </row>
    <row r="180" spans="1:10" x14ac:dyDescent="0.25">
      <c r="B180" s="11" t="s">
        <v>337</v>
      </c>
      <c r="C180" s="10">
        <f>SUM(C177:C179)</f>
        <v>21100</v>
      </c>
      <c r="D180" s="10">
        <f t="shared" ref="D180:I180" si="27">SUM(D177:D179)</f>
        <v>24813.02</v>
      </c>
      <c r="E180" s="10">
        <f t="shared" si="27"/>
        <v>26000</v>
      </c>
      <c r="F180" s="10">
        <f t="shared" si="27"/>
        <v>17948.34</v>
      </c>
      <c r="G180" s="10">
        <f t="shared" si="27"/>
        <v>26000</v>
      </c>
      <c r="H180" s="10">
        <f t="shared" si="27"/>
        <v>17816.84</v>
      </c>
      <c r="I180" s="10">
        <f t="shared" si="27"/>
        <v>26000</v>
      </c>
    </row>
    <row r="182" spans="1:10" x14ac:dyDescent="0.25">
      <c r="A182" s="12" t="s">
        <v>338</v>
      </c>
      <c r="B182" t="s">
        <v>340</v>
      </c>
      <c r="C182" s="4">
        <v>500</v>
      </c>
      <c r="D182" s="4">
        <v>0</v>
      </c>
      <c r="E182" s="4">
        <v>500</v>
      </c>
      <c r="F182" s="4">
        <v>0</v>
      </c>
      <c r="G182" s="4">
        <v>500</v>
      </c>
      <c r="I182" s="4">
        <v>500</v>
      </c>
    </row>
    <row r="183" spans="1:10" x14ac:dyDescent="0.25">
      <c r="A183" s="12" t="s">
        <v>339</v>
      </c>
      <c r="B183" t="s">
        <v>341</v>
      </c>
      <c r="C183" s="4">
        <v>5000</v>
      </c>
      <c r="D183" s="4">
        <v>6969.57</v>
      </c>
      <c r="E183" s="4">
        <v>5000</v>
      </c>
      <c r="F183" s="4">
        <f>2821.59-2.84</f>
        <v>2818.75</v>
      </c>
      <c r="G183" s="4">
        <v>5000</v>
      </c>
      <c r="H183" s="4">
        <v>3890.68</v>
      </c>
      <c r="I183" s="4">
        <v>5000</v>
      </c>
    </row>
    <row r="184" spans="1:10" x14ac:dyDescent="0.25">
      <c r="B184" s="11" t="s">
        <v>342</v>
      </c>
      <c r="C184" s="10">
        <f>SUM(C182:C183)</f>
        <v>5500</v>
      </c>
      <c r="D184" s="10">
        <f t="shared" ref="D184:I184" si="28">SUM(D182:D183)</f>
        <v>6969.57</v>
      </c>
      <c r="E184" s="10">
        <f t="shared" si="28"/>
        <v>5500</v>
      </c>
      <c r="F184" s="10">
        <f t="shared" si="28"/>
        <v>2818.75</v>
      </c>
      <c r="G184" s="10">
        <f t="shared" si="28"/>
        <v>5500</v>
      </c>
      <c r="H184" s="10">
        <f t="shared" si="28"/>
        <v>3890.68</v>
      </c>
      <c r="I184" s="10">
        <f t="shared" si="28"/>
        <v>5500</v>
      </c>
    </row>
    <row r="186" spans="1:10" ht="15.75" x14ac:dyDescent="0.25">
      <c r="A186" s="26" t="s">
        <v>30</v>
      </c>
      <c r="B186" s="26"/>
      <c r="C186" s="26"/>
      <c r="D186" s="26"/>
      <c r="E186" s="26"/>
      <c r="F186" s="26"/>
      <c r="G186" s="26"/>
      <c r="H186" s="26"/>
      <c r="I186" s="26"/>
      <c r="J186" s="26"/>
    </row>
    <row r="187" spans="1:10" ht="15.75" x14ac:dyDescent="0.25">
      <c r="A187" s="26" t="s">
        <v>109</v>
      </c>
      <c r="B187" s="26"/>
      <c r="C187" s="26"/>
      <c r="D187" s="26"/>
      <c r="E187" s="26"/>
      <c r="F187" s="26"/>
      <c r="G187" s="26"/>
      <c r="H187" s="26"/>
      <c r="I187" s="26"/>
      <c r="J187" s="26"/>
    </row>
    <row r="188" spans="1:10" ht="15.75" x14ac:dyDescent="0.25">
      <c r="A188" s="26" t="s">
        <v>32</v>
      </c>
      <c r="B188" s="26"/>
      <c r="C188" s="26"/>
      <c r="D188" s="26"/>
      <c r="E188" s="26"/>
      <c r="F188" s="26"/>
      <c r="G188" s="26"/>
      <c r="H188" s="26"/>
      <c r="I188" s="26"/>
      <c r="J188" s="26"/>
    </row>
    <row r="189" spans="1:10" x14ac:dyDescent="0.25">
      <c r="D189" s="5"/>
    </row>
    <row r="190" spans="1:10" x14ac:dyDescent="0.25">
      <c r="A190" s="23"/>
      <c r="B190" s="3"/>
      <c r="C190" s="25">
        <v>2022</v>
      </c>
      <c r="D190" s="25"/>
      <c r="E190" s="25">
        <v>2023</v>
      </c>
      <c r="F190" s="25"/>
      <c r="G190" s="25">
        <v>2024</v>
      </c>
      <c r="H190" s="25"/>
      <c r="I190" s="8">
        <v>2025</v>
      </c>
    </row>
    <row r="191" spans="1:10" s="2" customFormat="1" x14ac:dyDescent="0.25">
      <c r="A191" s="24" t="s">
        <v>0</v>
      </c>
      <c r="B191" s="3" t="s">
        <v>1</v>
      </c>
      <c r="C191" s="6" t="s">
        <v>2</v>
      </c>
      <c r="D191" s="6" t="s">
        <v>3</v>
      </c>
      <c r="E191" s="6" t="s">
        <v>2</v>
      </c>
      <c r="F191" s="6" t="s">
        <v>3</v>
      </c>
      <c r="G191" s="6" t="s">
        <v>2</v>
      </c>
      <c r="H191" s="6" t="s">
        <v>4</v>
      </c>
      <c r="I191" s="6" t="s">
        <v>5</v>
      </c>
      <c r="J191"/>
    </row>
    <row r="192" spans="1:10" x14ac:dyDescent="0.25">
      <c r="A192" s="12" t="s">
        <v>343</v>
      </c>
      <c r="B192" t="s">
        <v>345</v>
      </c>
      <c r="C192" s="4">
        <v>42000</v>
      </c>
      <c r="D192" s="4">
        <v>35506.699999999997</v>
      </c>
      <c r="E192" s="4">
        <v>42000</v>
      </c>
      <c r="F192" s="4">
        <v>52296.33</v>
      </c>
      <c r="G192" s="4">
        <v>42000</v>
      </c>
      <c r="H192" s="4">
        <v>41491.24</v>
      </c>
      <c r="I192" s="4">
        <v>42000</v>
      </c>
    </row>
    <row r="193" spans="1:9" x14ac:dyDescent="0.25">
      <c r="B193" s="11" t="s">
        <v>344</v>
      </c>
      <c r="C193" s="10">
        <f>C192</f>
        <v>42000</v>
      </c>
      <c r="D193" s="10">
        <f t="shared" ref="D193:I193" si="29">D192</f>
        <v>35506.699999999997</v>
      </c>
      <c r="E193" s="10">
        <f t="shared" si="29"/>
        <v>42000</v>
      </c>
      <c r="F193" s="10">
        <f t="shared" si="29"/>
        <v>52296.33</v>
      </c>
      <c r="G193" s="10">
        <f t="shared" si="29"/>
        <v>42000</v>
      </c>
      <c r="H193" s="10">
        <f t="shared" si="29"/>
        <v>41491.24</v>
      </c>
      <c r="I193" s="10">
        <f t="shared" si="29"/>
        <v>42000</v>
      </c>
    </row>
    <row r="195" spans="1:9" x14ac:dyDescent="0.25">
      <c r="A195" s="12" t="s">
        <v>346</v>
      </c>
      <c r="B195" t="s">
        <v>347</v>
      </c>
      <c r="C195" s="4">
        <v>2000</v>
      </c>
      <c r="D195" s="4">
        <v>2000</v>
      </c>
      <c r="E195" s="4">
        <v>2000</v>
      </c>
      <c r="F195" s="4">
        <v>1200</v>
      </c>
      <c r="G195" s="4">
        <v>2000</v>
      </c>
      <c r="H195" s="4">
        <v>1299</v>
      </c>
      <c r="I195" s="4">
        <v>2000</v>
      </c>
    </row>
    <row r="196" spans="1:9" x14ac:dyDescent="0.25">
      <c r="B196" s="11" t="s">
        <v>348</v>
      </c>
      <c r="C196" s="10">
        <f>C195</f>
        <v>2000</v>
      </c>
      <c r="D196" s="10">
        <f t="shared" ref="D196:I196" si="30">D195</f>
        <v>2000</v>
      </c>
      <c r="E196" s="10">
        <f t="shared" si="30"/>
        <v>2000</v>
      </c>
      <c r="F196" s="10">
        <f t="shared" si="30"/>
        <v>1200</v>
      </c>
      <c r="G196" s="10">
        <f t="shared" si="30"/>
        <v>2000</v>
      </c>
      <c r="H196" s="10">
        <f t="shared" si="30"/>
        <v>1299</v>
      </c>
      <c r="I196" s="10">
        <f t="shared" si="30"/>
        <v>2000</v>
      </c>
    </row>
    <row r="198" spans="1:9" x14ac:dyDescent="0.25">
      <c r="A198" s="12" t="s">
        <v>349</v>
      </c>
      <c r="B198" t="s">
        <v>350</v>
      </c>
      <c r="C198" s="4">
        <v>6000</v>
      </c>
      <c r="D198" s="4">
        <v>4351.24</v>
      </c>
      <c r="E198" s="4">
        <v>6000</v>
      </c>
      <c r="F198" s="4">
        <v>4205.41</v>
      </c>
      <c r="G198" s="4">
        <v>6000</v>
      </c>
      <c r="H198" s="4">
        <v>4017.4</v>
      </c>
      <c r="I198" s="4">
        <v>6000</v>
      </c>
    </row>
    <row r="199" spans="1:9" x14ac:dyDescent="0.25">
      <c r="B199" s="22" t="s">
        <v>351</v>
      </c>
      <c r="C199" s="10">
        <f>C198</f>
        <v>6000</v>
      </c>
      <c r="D199" s="10">
        <f t="shared" ref="D199:I199" si="31">D198</f>
        <v>4351.24</v>
      </c>
      <c r="E199" s="10">
        <f t="shared" si="31"/>
        <v>6000</v>
      </c>
      <c r="F199" s="10">
        <f t="shared" si="31"/>
        <v>4205.41</v>
      </c>
      <c r="G199" s="10">
        <f t="shared" si="31"/>
        <v>6000</v>
      </c>
      <c r="H199" s="10">
        <f t="shared" si="31"/>
        <v>4017.4</v>
      </c>
      <c r="I199" s="10">
        <f t="shared" si="31"/>
        <v>6000</v>
      </c>
    </row>
    <row r="201" spans="1:9" x14ac:dyDescent="0.25">
      <c r="A201" s="12" t="s">
        <v>352</v>
      </c>
      <c r="B201" t="s">
        <v>353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</row>
    <row r="202" spans="1:9" x14ac:dyDescent="0.25">
      <c r="B202" s="11" t="s">
        <v>354</v>
      </c>
      <c r="C202" s="10">
        <f>SUM(C201)</f>
        <v>0</v>
      </c>
      <c r="D202" s="10">
        <f t="shared" ref="D202:I202" si="32">SUM(D201)</f>
        <v>0</v>
      </c>
      <c r="E202" s="10">
        <f t="shared" si="32"/>
        <v>0</v>
      </c>
      <c r="F202" s="10">
        <f t="shared" si="32"/>
        <v>0</v>
      </c>
      <c r="G202" s="10">
        <f t="shared" si="32"/>
        <v>0</v>
      </c>
      <c r="H202" s="10">
        <f t="shared" si="32"/>
        <v>0</v>
      </c>
      <c r="I202" s="10">
        <f t="shared" si="32"/>
        <v>0</v>
      </c>
    </row>
    <row r="204" spans="1:9" x14ac:dyDescent="0.25">
      <c r="A204" s="12" t="s">
        <v>355</v>
      </c>
      <c r="B204" t="s">
        <v>357</v>
      </c>
      <c r="C204" s="4">
        <v>0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</row>
    <row r="205" spans="1:9" x14ac:dyDescent="0.25">
      <c r="A205" s="12" t="s">
        <v>356</v>
      </c>
      <c r="B205" t="s">
        <v>358</v>
      </c>
      <c r="C205" s="4">
        <v>21000</v>
      </c>
      <c r="D205" s="4">
        <v>25.3</v>
      </c>
      <c r="E205" s="4">
        <v>21000</v>
      </c>
      <c r="F205" s="4">
        <v>0</v>
      </c>
      <c r="G205" s="4">
        <v>28930</v>
      </c>
      <c r="H205" s="4">
        <v>0</v>
      </c>
      <c r="I205" s="4">
        <v>28930</v>
      </c>
    </row>
    <row r="206" spans="1:9" x14ac:dyDescent="0.25">
      <c r="B206" s="11" t="s">
        <v>359</v>
      </c>
      <c r="C206" s="10">
        <f>SUM(C204:C205)</f>
        <v>21000</v>
      </c>
      <c r="D206" s="10">
        <f t="shared" ref="D206:I206" si="33">SUM(D204:D205)</f>
        <v>25.3</v>
      </c>
      <c r="E206" s="10">
        <f t="shared" si="33"/>
        <v>21000</v>
      </c>
      <c r="F206" s="10">
        <f t="shared" si="33"/>
        <v>0</v>
      </c>
      <c r="G206" s="10">
        <f t="shared" si="33"/>
        <v>28930</v>
      </c>
      <c r="H206" s="10">
        <f t="shared" si="33"/>
        <v>0</v>
      </c>
      <c r="I206" s="10">
        <f t="shared" si="33"/>
        <v>28930</v>
      </c>
    </row>
    <row r="207" spans="1:9" x14ac:dyDescent="0.25">
      <c r="B207" s="47" t="s">
        <v>360</v>
      </c>
      <c r="C207" s="48">
        <f>C121+C126+C130+C133+C136+C139+C142+C145+C158+C161+C166+C169+C172+C175+C180+C184+C193+C196+C199+C202+C206</f>
        <v>342594</v>
      </c>
      <c r="D207" s="48">
        <f>D121+D126+D130+D133+D136+D139+D142+D145+D158+D161+D166+D169+D172+D175+D180+D184+D193+D196+D199+D202+D206</f>
        <v>266180.88</v>
      </c>
      <c r="E207" s="48">
        <f>E121+E126+E130+E133+E136+E139+E142+E145+E158+E161+E166+E169+E172+E175+E180+E184+E193+E196+E199+E202+E206</f>
        <v>353494</v>
      </c>
      <c r="F207" s="48">
        <f>F121+F126+F130+F133+F136+F139+F142+F145+F158+F161+F166+F169+F172+F175+F180+F184+F193+F196+F199+F202+F206</f>
        <v>259601.94000000003</v>
      </c>
      <c r="G207" s="48">
        <f>G121+G126+G130+G133+G136+G139+G142+G145+G158+G161+G166+G169+G172+G175+G180+G184+G193+G196+G199+G202+G206</f>
        <v>336845</v>
      </c>
      <c r="H207" s="48">
        <f>H121+H126+H130+H133+H136+H139+H142+H145+H158+H161+H166+H169+H172+H175+H180+H184+H193+H196+H199+H202+H206</f>
        <v>265152.11</v>
      </c>
      <c r="I207" s="48">
        <f>I121+I126+I130+I133+I136+I139+I142+I145+I158+I161+I166+I169+I172+I175+I180+I184+I193+I196+I199+I202+I206</f>
        <v>336845</v>
      </c>
    </row>
    <row r="209" spans="1:10" x14ac:dyDescent="0.25">
      <c r="A209" s="12" t="s">
        <v>361</v>
      </c>
      <c r="B209" t="s">
        <v>362</v>
      </c>
      <c r="C209" s="4">
        <v>6000</v>
      </c>
      <c r="D209" s="4">
        <v>5250.18</v>
      </c>
      <c r="E209" s="4">
        <v>6000</v>
      </c>
      <c r="F209" s="4">
        <v>4667</v>
      </c>
      <c r="G209" s="4">
        <v>8000</v>
      </c>
      <c r="H209" s="4">
        <v>4565.87</v>
      </c>
      <c r="I209" s="4">
        <v>8000</v>
      </c>
    </row>
    <row r="210" spans="1:10" x14ac:dyDescent="0.25">
      <c r="B210" s="11" t="s">
        <v>363</v>
      </c>
      <c r="C210" s="10">
        <f>C209</f>
        <v>6000</v>
      </c>
      <c r="D210" s="10">
        <f t="shared" ref="D210:I210" si="34">D209</f>
        <v>5250.18</v>
      </c>
      <c r="E210" s="10">
        <f t="shared" si="34"/>
        <v>6000</v>
      </c>
      <c r="F210" s="10">
        <f t="shared" si="34"/>
        <v>4667</v>
      </c>
      <c r="G210" s="10">
        <f t="shared" si="34"/>
        <v>8000</v>
      </c>
      <c r="H210" s="10">
        <f t="shared" si="34"/>
        <v>4565.87</v>
      </c>
      <c r="I210" s="10">
        <f t="shared" si="34"/>
        <v>8000</v>
      </c>
    </row>
    <row r="212" spans="1:10" x14ac:dyDescent="0.25">
      <c r="A212" s="12" t="s">
        <v>364</v>
      </c>
      <c r="B212" t="s">
        <v>365</v>
      </c>
      <c r="C212" s="4">
        <v>0</v>
      </c>
      <c r="D212" s="4">
        <v>0</v>
      </c>
      <c r="E212" s="4">
        <v>1000</v>
      </c>
      <c r="F212" s="4">
        <v>0</v>
      </c>
      <c r="G212" s="4">
        <v>1000</v>
      </c>
      <c r="H212" s="4">
        <v>0</v>
      </c>
      <c r="I212" s="4">
        <v>1000</v>
      </c>
    </row>
    <row r="213" spans="1:10" x14ac:dyDescent="0.25">
      <c r="B213" s="11" t="s">
        <v>366</v>
      </c>
      <c r="C213" s="10">
        <f>C212</f>
        <v>0</v>
      </c>
      <c r="D213" s="10">
        <f t="shared" ref="D213:I213" si="35">D212</f>
        <v>0</v>
      </c>
      <c r="E213" s="10">
        <f t="shared" si="35"/>
        <v>1000</v>
      </c>
      <c r="F213" s="10">
        <f t="shared" si="35"/>
        <v>0</v>
      </c>
      <c r="G213" s="10">
        <f t="shared" si="35"/>
        <v>1000</v>
      </c>
      <c r="H213" s="10">
        <f t="shared" si="35"/>
        <v>0</v>
      </c>
      <c r="I213" s="10">
        <f t="shared" si="35"/>
        <v>1000</v>
      </c>
    </row>
    <row r="214" spans="1:10" x14ac:dyDescent="0.25">
      <c r="B214" s="47" t="s">
        <v>367</v>
      </c>
      <c r="C214" s="48">
        <f>C210+C213</f>
        <v>6000</v>
      </c>
      <c r="D214" s="48">
        <f t="shared" ref="D214:I214" si="36">D210+D213</f>
        <v>5250.18</v>
      </c>
      <c r="E214" s="48">
        <f t="shared" si="36"/>
        <v>7000</v>
      </c>
      <c r="F214" s="48">
        <f t="shared" si="36"/>
        <v>4667</v>
      </c>
      <c r="G214" s="48">
        <f t="shared" si="36"/>
        <v>9000</v>
      </c>
      <c r="H214" s="48">
        <f t="shared" si="36"/>
        <v>4565.87</v>
      </c>
      <c r="I214" s="48">
        <f t="shared" si="36"/>
        <v>9000</v>
      </c>
    </row>
    <row r="216" spans="1:10" x14ac:dyDescent="0.25">
      <c r="A216" s="12" t="s">
        <v>368</v>
      </c>
      <c r="B216" t="s">
        <v>370</v>
      </c>
      <c r="C216" s="4">
        <v>2000</v>
      </c>
      <c r="D216" s="4">
        <v>1090</v>
      </c>
      <c r="E216" s="4">
        <v>2000</v>
      </c>
      <c r="F216" s="4">
        <f>2079.92</f>
        <v>2079.92</v>
      </c>
      <c r="G216" s="4">
        <v>2000</v>
      </c>
      <c r="H216" s="4">
        <f>1692.24-461.52+76.92</f>
        <v>1307.6400000000001</v>
      </c>
      <c r="I216" s="4">
        <v>2000</v>
      </c>
    </row>
    <row r="217" spans="1:10" x14ac:dyDescent="0.25">
      <c r="A217" s="12" t="s">
        <v>369</v>
      </c>
      <c r="B217" t="s">
        <v>371</v>
      </c>
      <c r="C217" s="4">
        <v>50</v>
      </c>
      <c r="D217" s="4">
        <v>0</v>
      </c>
      <c r="E217" s="4">
        <v>50</v>
      </c>
      <c r="F217" s="4">
        <v>0</v>
      </c>
      <c r="G217" s="4">
        <v>50</v>
      </c>
      <c r="H217" s="4">
        <v>0</v>
      </c>
      <c r="I217" s="4">
        <v>50</v>
      </c>
    </row>
    <row r="218" spans="1:10" x14ac:dyDescent="0.25">
      <c r="B218" s="11" t="s">
        <v>372</v>
      </c>
      <c r="C218" s="10">
        <f>SUM(C216:C217)</f>
        <v>2050</v>
      </c>
      <c r="D218" s="10">
        <f t="shared" ref="D218:I218" si="37">SUM(D216:D217)</f>
        <v>1090</v>
      </c>
      <c r="E218" s="10">
        <f t="shared" si="37"/>
        <v>2050</v>
      </c>
      <c r="F218" s="10">
        <f t="shared" si="37"/>
        <v>2079.92</v>
      </c>
      <c r="G218" s="10">
        <f t="shared" si="37"/>
        <v>2050</v>
      </c>
      <c r="H218" s="10">
        <f t="shared" si="37"/>
        <v>1307.6400000000001</v>
      </c>
      <c r="I218" s="10">
        <f t="shared" si="37"/>
        <v>2050</v>
      </c>
    </row>
    <row r="219" spans="1:10" x14ac:dyDescent="0.25">
      <c r="B219" s="44"/>
      <c r="C219" s="13"/>
      <c r="D219" s="13"/>
      <c r="E219" s="13"/>
      <c r="F219" s="13"/>
      <c r="G219" s="13"/>
      <c r="H219" s="13"/>
      <c r="I219" s="13"/>
    </row>
    <row r="220" spans="1:10" x14ac:dyDescent="0.25">
      <c r="B220" s="44"/>
      <c r="C220" s="13"/>
      <c r="D220" s="13"/>
      <c r="E220" s="13"/>
      <c r="F220" s="13"/>
      <c r="G220" s="13"/>
      <c r="H220" s="13"/>
      <c r="I220" s="13"/>
    </row>
    <row r="221" spans="1:10" x14ac:dyDescent="0.25">
      <c r="B221" s="44"/>
      <c r="C221" s="13"/>
      <c r="D221" s="13"/>
      <c r="E221" s="13"/>
      <c r="F221" s="13"/>
      <c r="G221" s="13"/>
      <c r="H221" s="13"/>
      <c r="I221" s="13"/>
    </row>
    <row r="222" spans="1:10" x14ac:dyDescent="0.25">
      <c r="B222" s="44"/>
      <c r="C222" s="13"/>
      <c r="D222" s="13"/>
      <c r="E222" s="13"/>
      <c r="F222" s="13"/>
      <c r="G222" s="13"/>
      <c r="H222" s="13"/>
      <c r="I222" s="13"/>
    </row>
    <row r="223" spans="1:10" ht="15.75" x14ac:dyDescent="0.25">
      <c r="A223" s="26" t="s">
        <v>30</v>
      </c>
      <c r="B223" s="26"/>
      <c r="C223" s="26"/>
      <c r="D223" s="26"/>
      <c r="E223" s="26"/>
      <c r="F223" s="26"/>
      <c r="G223" s="26"/>
      <c r="H223" s="26"/>
      <c r="I223" s="26"/>
      <c r="J223" s="26"/>
    </row>
    <row r="224" spans="1:10" ht="15.75" x14ac:dyDescent="0.25">
      <c r="A224" s="26" t="s">
        <v>109</v>
      </c>
      <c r="B224" s="26"/>
      <c r="C224" s="26"/>
      <c r="D224" s="26"/>
      <c r="E224" s="26"/>
      <c r="F224" s="26"/>
      <c r="G224" s="26"/>
      <c r="H224" s="26"/>
      <c r="I224" s="26"/>
      <c r="J224" s="26"/>
    </row>
    <row r="225" spans="1:10" ht="15.75" x14ac:dyDescent="0.25">
      <c r="A225" s="26" t="s">
        <v>32</v>
      </c>
      <c r="B225" s="26"/>
      <c r="C225" s="26"/>
      <c r="D225" s="26"/>
      <c r="E225" s="26"/>
      <c r="F225" s="26"/>
      <c r="G225" s="26"/>
      <c r="H225" s="26"/>
      <c r="I225" s="26"/>
      <c r="J225" s="26"/>
    </row>
    <row r="226" spans="1:10" x14ac:dyDescent="0.25">
      <c r="D226" s="5"/>
    </row>
    <row r="227" spans="1:10" x14ac:dyDescent="0.25">
      <c r="A227" s="23"/>
      <c r="B227" s="3"/>
      <c r="C227" s="25">
        <v>2022</v>
      </c>
      <c r="D227" s="25"/>
      <c r="E227" s="25">
        <v>2023</v>
      </c>
      <c r="F227" s="25"/>
      <c r="G227" s="25">
        <v>2024</v>
      </c>
      <c r="H227" s="25"/>
      <c r="I227" s="8">
        <v>2025</v>
      </c>
    </row>
    <row r="228" spans="1:10" s="2" customFormat="1" x14ac:dyDescent="0.25">
      <c r="A228" s="24" t="s">
        <v>0</v>
      </c>
      <c r="B228" s="3" t="s">
        <v>1</v>
      </c>
      <c r="C228" s="6" t="s">
        <v>2</v>
      </c>
      <c r="D228" s="6" t="s">
        <v>3</v>
      </c>
      <c r="E228" s="6" t="s">
        <v>2</v>
      </c>
      <c r="F228" s="6" t="s">
        <v>3</v>
      </c>
      <c r="G228" s="6" t="s">
        <v>2</v>
      </c>
      <c r="H228" s="6" t="s">
        <v>4</v>
      </c>
      <c r="I228" s="6" t="s">
        <v>5</v>
      </c>
      <c r="J228"/>
    </row>
    <row r="229" spans="1:10" x14ac:dyDescent="0.25">
      <c r="A229" s="12" t="s">
        <v>373</v>
      </c>
      <c r="B229" t="s">
        <v>374</v>
      </c>
      <c r="C229" s="4">
        <v>800</v>
      </c>
      <c r="D229" s="4">
        <v>800</v>
      </c>
      <c r="E229" s="4">
        <v>800</v>
      </c>
      <c r="F229" s="4">
        <v>58.62</v>
      </c>
      <c r="G229" s="4">
        <v>800</v>
      </c>
      <c r="H229" s="4">
        <v>0</v>
      </c>
      <c r="I229" s="4">
        <v>800</v>
      </c>
    </row>
    <row r="230" spans="1:10" x14ac:dyDescent="0.25">
      <c r="A230" s="12" t="s">
        <v>373</v>
      </c>
      <c r="B230" t="s">
        <v>375</v>
      </c>
      <c r="C230" s="4">
        <v>3000</v>
      </c>
      <c r="D230" s="4">
        <v>0</v>
      </c>
      <c r="E230" s="4">
        <v>3000</v>
      </c>
      <c r="F230" s="4">
        <v>15065.96</v>
      </c>
      <c r="G230" s="4">
        <v>3000</v>
      </c>
      <c r="H230" s="4">
        <v>0</v>
      </c>
      <c r="I230" s="4">
        <v>3000</v>
      </c>
    </row>
    <row r="231" spans="1:10" x14ac:dyDescent="0.25">
      <c r="A231" s="12" t="s">
        <v>373</v>
      </c>
      <c r="B231" t="s">
        <v>376</v>
      </c>
      <c r="C231" s="4">
        <v>0</v>
      </c>
      <c r="D231" s="4">
        <v>450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</row>
    <row r="232" spans="1:10" x14ac:dyDescent="0.25">
      <c r="B232" s="11" t="s">
        <v>377</v>
      </c>
      <c r="C232" s="10">
        <f>SUM(C229:C231)</f>
        <v>3800</v>
      </c>
      <c r="D232" s="10">
        <f t="shared" ref="D232:I232" si="38">SUM(D229:D231)</f>
        <v>1250</v>
      </c>
      <c r="E232" s="10">
        <f t="shared" si="38"/>
        <v>3800</v>
      </c>
      <c r="F232" s="10">
        <f t="shared" si="38"/>
        <v>15124.58</v>
      </c>
      <c r="G232" s="10">
        <f t="shared" si="38"/>
        <v>3800</v>
      </c>
      <c r="H232" s="10">
        <f t="shared" si="38"/>
        <v>0</v>
      </c>
      <c r="I232" s="10">
        <f t="shared" si="38"/>
        <v>3800</v>
      </c>
    </row>
    <row r="234" spans="1:10" x14ac:dyDescent="0.25">
      <c r="A234" s="12" t="s">
        <v>378</v>
      </c>
      <c r="B234" t="s">
        <v>379</v>
      </c>
      <c r="C234" s="4">
        <v>250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</row>
    <row r="235" spans="1:10" x14ac:dyDescent="0.25">
      <c r="B235" s="11" t="s">
        <v>380</v>
      </c>
      <c r="C235" s="10">
        <f>SUM(C234)</f>
        <v>250</v>
      </c>
      <c r="D235" s="10">
        <f t="shared" ref="D235:I235" si="39">SUM(D234)</f>
        <v>0</v>
      </c>
      <c r="E235" s="10">
        <f t="shared" si="39"/>
        <v>0</v>
      </c>
      <c r="F235" s="10">
        <f t="shared" si="39"/>
        <v>0</v>
      </c>
      <c r="G235" s="10">
        <f t="shared" si="39"/>
        <v>0</v>
      </c>
      <c r="H235" s="10">
        <f t="shared" si="39"/>
        <v>0</v>
      </c>
      <c r="I235" s="10">
        <f t="shared" si="39"/>
        <v>0</v>
      </c>
    </row>
    <row r="237" spans="1:10" x14ac:dyDescent="0.25">
      <c r="A237" s="12" t="s">
        <v>381</v>
      </c>
      <c r="B237" t="s">
        <v>382</v>
      </c>
      <c r="C237" s="4">
        <v>74500</v>
      </c>
      <c r="D237" s="4">
        <v>74500</v>
      </c>
      <c r="E237" s="4">
        <v>74500</v>
      </c>
      <c r="F237" s="4">
        <v>75500</v>
      </c>
      <c r="G237" s="4">
        <v>155000</v>
      </c>
      <c r="H237" s="4">
        <v>155000</v>
      </c>
      <c r="I237" s="4">
        <v>155000</v>
      </c>
    </row>
    <row r="238" spans="1:10" x14ac:dyDescent="0.25">
      <c r="B238" s="11" t="s">
        <v>383</v>
      </c>
      <c r="C238" s="10">
        <f>SUM(C237)</f>
        <v>74500</v>
      </c>
      <c r="D238" s="10">
        <f t="shared" ref="D238:I238" si="40">SUM(D237)</f>
        <v>74500</v>
      </c>
      <c r="E238" s="10">
        <f t="shared" si="40"/>
        <v>74500</v>
      </c>
      <c r="F238" s="10">
        <f t="shared" si="40"/>
        <v>75500</v>
      </c>
      <c r="G238" s="10">
        <f t="shared" si="40"/>
        <v>155000</v>
      </c>
      <c r="H238" s="10">
        <f t="shared" si="40"/>
        <v>155000</v>
      </c>
      <c r="I238" s="10">
        <f t="shared" si="40"/>
        <v>155000</v>
      </c>
    </row>
    <row r="240" spans="1:10" x14ac:dyDescent="0.25">
      <c r="A240" s="12" t="s">
        <v>384</v>
      </c>
      <c r="B240" t="s">
        <v>385</v>
      </c>
      <c r="C240" s="4">
        <v>0</v>
      </c>
      <c r="D240" s="4">
        <v>0</v>
      </c>
      <c r="E240" s="4">
        <v>0</v>
      </c>
      <c r="F240" s="4">
        <v>72</v>
      </c>
      <c r="G240" s="4">
        <v>0</v>
      </c>
      <c r="H240" s="4">
        <v>0</v>
      </c>
      <c r="I240" s="4">
        <v>0</v>
      </c>
    </row>
    <row r="241" spans="1:9" x14ac:dyDescent="0.25">
      <c r="B241" s="11" t="s">
        <v>386</v>
      </c>
      <c r="C241" s="10">
        <f>C240</f>
        <v>0</v>
      </c>
      <c r="D241" s="10">
        <f t="shared" ref="D241:I241" si="41">D240</f>
        <v>0</v>
      </c>
      <c r="E241" s="10">
        <f t="shared" si="41"/>
        <v>0</v>
      </c>
      <c r="F241" s="10">
        <f t="shared" si="41"/>
        <v>72</v>
      </c>
      <c r="G241" s="10">
        <f t="shared" si="41"/>
        <v>0</v>
      </c>
      <c r="H241" s="10">
        <f t="shared" si="41"/>
        <v>0</v>
      </c>
      <c r="I241" s="10">
        <f t="shared" si="41"/>
        <v>0</v>
      </c>
    </row>
    <row r="242" spans="1:9" x14ac:dyDescent="0.25">
      <c r="B242" s="47" t="s">
        <v>387</v>
      </c>
      <c r="C242" s="48">
        <f>C218+C232+C235+C238+C241</f>
        <v>80600</v>
      </c>
      <c r="D242" s="48">
        <f>D218+D232+D235+D238+D241</f>
        <v>76840</v>
      </c>
      <c r="E242" s="48">
        <f>E218+E232+E235+E238+E241</f>
        <v>80350</v>
      </c>
      <c r="F242" s="48">
        <f>F218+F232+F235+F238+F241</f>
        <v>92776.5</v>
      </c>
      <c r="G242" s="48">
        <f>G218+G232+G235+G238+G241</f>
        <v>160850</v>
      </c>
      <c r="H242" s="48">
        <f>H218+H232+H235+H238+H241</f>
        <v>156307.64000000001</v>
      </c>
      <c r="I242" s="48">
        <f>I218+I232+I235+I238+I241</f>
        <v>160850</v>
      </c>
    </row>
    <row r="244" spans="1:9" x14ac:dyDescent="0.25">
      <c r="A244" s="12" t="s">
        <v>388</v>
      </c>
      <c r="B244" t="s">
        <v>391</v>
      </c>
      <c r="C244" s="4">
        <v>50000</v>
      </c>
      <c r="D244" s="4">
        <v>50000.08</v>
      </c>
      <c r="E244" s="4">
        <v>44000</v>
      </c>
      <c r="F244" s="4">
        <v>50000.08</v>
      </c>
      <c r="G244" s="4">
        <v>50000</v>
      </c>
      <c r="H244" s="4">
        <f>38461.6-7692.32+1923.08</f>
        <v>32692.36</v>
      </c>
      <c r="I244" s="4">
        <v>50000</v>
      </c>
    </row>
    <row r="245" spans="1:9" x14ac:dyDescent="0.25">
      <c r="A245" s="12" t="s">
        <v>388</v>
      </c>
      <c r="B245" t="s">
        <v>392</v>
      </c>
      <c r="C245" s="4">
        <v>1250</v>
      </c>
      <c r="D245" s="4">
        <v>1250.08</v>
      </c>
      <c r="E245" s="4">
        <v>1250</v>
      </c>
      <c r="F245" s="4">
        <v>1250.08</v>
      </c>
      <c r="G245" s="4">
        <v>1250</v>
      </c>
      <c r="H245" s="4">
        <f>2586.44-692.28+115.38</f>
        <v>2009.54</v>
      </c>
      <c r="I245" s="4">
        <v>1250</v>
      </c>
    </row>
    <row r="246" spans="1:9" x14ac:dyDescent="0.25">
      <c r="A246" s="12" t="s">
        <v>389</v>
      </c>
      <c r="B246" t="s">
        <v>393</v>
      </c>
      <c r="C246" s="4">
        <v>500</v>
      </c>
      <c r="D246" s="4">
        <v>0</v>
      </c>
      <c r="E246" s="4">
        <v>500</v>
      </c>
      <c r="F246" s="4">
        <v>0</v>
      </c>
      <c r="G246" s="4">
        <v>500</v>
      </c>
      <c r="H246" s="4">
        <v>0</v>
      </c>
      <c r="I246" s="4">
        <v>500</v>
      </c>
    </row>
    <row r="247" spans="1:9" x14ac:dyDescent="0.25">
      <c r="A247" s="12" t="s">
        <v>390</v>
      </c>
      <c r="B247" t="s">
        <v>394</v>
      </c>
      <c r="C247" s="4">
        <v>1000</v>
      </c>
      <c r="D247" s="4">
        <v>1413.38</v>
      </c>
      <c r="E247" s="4">
        <v>1000</v>
      </c>
      <c r="F247" s="4">
        <f>2835.12-882.82</f>
        <v>1952.2999999999997</v>
      </c>
      <c r="G247" s="4">
        <v>2000</v>
      </c>
      <c r="H247" s="4">
        <f>817.66</f>
        <v>817.66</v>
      </c>
      <c r="I247" s="4">
        <v>2000</v>
      </c>
    </row>
    <row r="248" spans="1:9" x14ac:dyDescent="0.25">
      <c r="B248" s="11" t="s">
        <v>395</v>
      </c>
      <c r="C248" s="10">
        <f>SUM(C244:C247)</f>
        <v>52750</v>
      </c>
      <c r="D248" s="10">
        <f t="shared" ref="D248:I248" si="42">SUM(D244:D247)</f>
        <v>52663.54</v>
      </c>
      <c r="E248" s="10">
        <f t="shared" si="42"/>
        <v>46750</v>
      </c>
      <c r="F248" s="10">
        <f t="shared" si="42"/>
        <v>53202.460000000006</v>
      </c>
      <c r="G248" s="10">
        <f t="shared" si="42"/>
        <v>53750</v>
      </c>
      <c r="H248" s="10">
        <f t="shared" si="42"/>
        <v>35519.560000000005</v>
      </c>
      <c r="I248" s="10">
        <f t="shared" si="42"/>
        <v>53750</v>
      </c>
    </row>
    <row r="250" spans="1:9" x14ac:dyDescent="0.25">
      <c r="A250" s="12" t="s">
        <v>396</v>
      </c>
      <c r="B250" t="s">
        <v>398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</row>
    <row r="251" spans="1:9" x14ac:dyDescent="0.25">
      <c r="A251" s="12" t="s">
        <v>397</v>
      </c>
      <c r="B251" t="s">
        <v>399</v>
      </c>
      <c r="C251" s="4">
        <v>15000</v>
      </c>
      <c r="D251" s="4">
        <v>17728.37</v>
      </c>
      <c r="E251" s="4">
        <v>15000</v>
      </c>
      <c r="F251" s="4">
        <f>15291.51-1390.17</f>
        <v>13901.34</v>
      </c>
      <c r="G251" s="4">
        <v>15000</v>
      </c>
      <c r="H251" s="4">
        <f>15347.84-210.5</f>
        <v>15137.34</v>
      </c>
      <c r="I251" s="4">
        <v>15000</v>
      </c>
    </row>
    <row r="252" spans="1:9" x14ac:dyDescent="0.25">
      <c r="B252" s="11" t="s">
        <v>400</v>
      </c>
      <c r="C252" s="10">
        <f>SUM(C250:C251)</f>
        <v>15000</v>
      </c>
      <c r="D252" s="10">
        <f t="shared" ref="D252:I252" si="43">SUM(D250:D251)</f>
        <v>17728.37</v>
      </c>
      <c r="E252" s="10">
        <f t="shared" si="43"/>
        <v>15000</v>
      </c>
      <c r="F252" s="10">
        <f t="shared" si="43"/>
        <v>13901.34</v>
      </c>
      <c r="G252" s="10">
        <f t="shared" si="43"/>
        <v>15000</v>
      </c>
      <c r="H252" s="10">
        <f t="shared" si="43"/>
        <v>15137.34</v>
      </c>
      <c r="I252" s="10">
        <f t="shared" si="43"/>
        <v>15000</v>
      </c>
    </row>
    <row r="254" spans="1:9" x14ac:dyDescent="0.25">
      <c r="A254" s="12" t="s">
        <v>401</v>
      </c>
      <c r="B254" t="s">
        <v>402</v>
      </c>
      <c r="C254" s="4">
        <v>7000</v>
      </c>
      <c r="D254" s="4">
        <v>12528.67</v>
      </c>
      <c r="E254" s="4">
        <v>7000</v>
      </c>
      <c r="F254" s="4">
        <f>6919.38-72.36</f>
        <v>6847.02</v>
      </c>
      <c r="G254" s="4">
        <v>7000</v>
      </c>
      <c r="H254" s="4">
        <v>2496.89</v>
      </c>
      <c r="I254" s="4">
        <v>7000</v>
      </c>
    </row>
    <row r="255" spans="1:9" x14ac:dyDescent="0.25">
      <c r="B255" s="11" t="s">
        <v>403</v>
      </c>
      <c r="C255" s="10">
        <f>C254</f>
        <v>7000</v>
      </c>
      <c r="D255" s="10">
        <f t="shared" ref="D255:I255" si="44">D254</f>
        <v>12528.67</v>
      </c>
      <c r="E255" s="10">
        <f t="shared" si="44"/>
        <v>7000</v>
      </c>
      <c r="F255" s="10">
        <f t="shared" si="44"/>
        <v>6847.02</v>
      </c>
      <c r="G255" s="10">
        <f t="shared" si="44"/>
        <v>7000</v>
      </c>
      <c r="H255" s="10">
        <f t="shared" si="44"/>
        <v>2496.89</v>
      </c>
      <c r="I255" s="10">
        <f t="shared" si="44"/>
        <v>7000</v>
      </c>
    </row>
    <row r="257" spans="1:10" x14ac:dyDescent="0.25">
      <c r="A257" s="12" t="s">
        <v>404</v>
      </c>
      <c r="B257" t="s">
        <v>405</v>
      </c>
      <c r="C257" s="4">
        <v>0</v>
      </c>
      <c r="D257" s="4">
        <v>92.89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</row>
    <row r="258" spans="1:10" x14ac:dyDescent="0.25">
      <c r="B258" s="11" t="s">
        <v>406</v>
      </c>
      <c r="C258" s="10">
        <f>C257</f>
        <v>0</v>
      </c>
      <c r="D258" s="10">
        <f t="shared" ref="D258:I258" si="45">D257</f>
        <v>92.89</v>
      </c>
      <c r="E258" s="10">
        <f t="shared" si="45"/>
        <v>0</v>
      </c>
      <c r="F258" s="10">
        <f t="shared" si="45"/>
        <v>0</v>
      </c>
      <c r="G258" s="10">
        <f t="shared" si="45"/>
        <v>0</v>
      </c>
      <c r="H258" s="10">
        <f t="shared" si="45"/>
        <v>0</v>
      </c>
      <c r="I258" s="10">
        <f t="shared" si="45"/>
        <v>0</v>
      </c>
    </row>
    <row r="259" spans="1:10" x14ac:dyDescent="0.25">
      <c r="B259" s="47" t="s">
        <v>407</v>
      </c>
      <c r="C259" s="48">
        <f>C248+C252+C255+C258</f>
        <v>74750</v>
      </c>
      <c r="D259" s="48">
        <f t="shared" ref="D259:I259" si="46">D248+D252+D255+D258</f>
        <v>83013.47</v>
      </c>
      <c r="E259" s="48">
        <f t="shared" si="46"/>
        <v>68750</v>
      </c>
      <c r="F259" s="48">
        <f t="shared" si="46"/>
        <v>73950.820000000007</v>
      </c>
      <c r="G259" s="48">
        <f t="shared" si="46"/>
        <v>75750</v>
      </c>
      <c r="H259" s="48">
        <f t="shared" si="46"/>
        <v>53153.790000000008</v>
      </c>
      <c r="I259" s="48">
        <f t="shared" si="46"/>
        <v>75750</v>
      </c>
    </row>
    <row r="260" spans="1:10" ht="15.75" x14ac:dyDescent="0.25">
      <c r="A260" s="26" t="s">
        <v>30</v>
      </c>
      <c r="B260" s="26"/>
      <c r="C260" s="26"/>
      <c r="D260" s="26"/>
      <c r="E260" s="26"/>
      <c r="F260" s="26"/>
      <c r="G260" s="26"/>
      <c r="H260" s="26"/>
      <c r="I260" s="26"/>
      <c r="J260" s="26"/>
    </row>
    <row r="261" spans="1:10" ht="15.75" x14ac:dyDescent="0.25">
      <c r="A261" s="26" t="s">
        <v>109</v>
      </c>
      <c r="B261" s="26"/>
      <c r="C261" s="26"/>
      <c r="D261" s="26"/>
      <c r="E261" s="26"/>
      <c r="F261" s="26"/>
      <c r="G261" s="26"/>
      <c r="H261" s="26"/>
      <c r="I261" s="26"/>
      <c r="J261" s="26"/>
    </row>
    <row r="262" spans="1:10" ht="15.75" x14ac:dyDescent="0.25">
      <c r="A262" s="26" t="s">
        <v>32</v>
      </c>
      <c r="B262" s="26"/>
      <c r="C262" s="26"/>
      <c r="D262" s="26"/>
      <c r="E262" s="26"/>
      <c r="F262" s="26"/>
      <c r="G262" s="26"/>
      <c r="H262" s="26"/>
      <c r="I262" s="26"/>
      <c r="J262" s="26"/>
    </row>
    <row r="263" spans="1:10" x14ac:dyDescent="0.25">
      <c r="D263" s="5"/>
    </row>
    <row r="264" spans="1:10" x14ac:dyDescent="0.25">
      <c r="A264" s="23"/>
      <c r="B264" s="3"/>
      <c r="C264" s="25">
        <v>2022</v>
      </c>
      <c r="D264" s="25"/>
      <c r="E264" s="25">
        <v>2023</v>
      </c>
      <c r="F264" s="25"/>
      <c r="G264" s="25">
        <v>2024</v>
      </c>
      <c r="H264" s="25"/>
      <c r="I264" s="8">
        <v>2025</v>
      </c>
    </row>
    <row r="265" spans="1:10" s="2" customFormat="1" x14ac:dyDescent="0.25">
      <c r="A265" s="24" t="s">
        <v>0</v>
      </c>
      <c r="B265" s="3" t="s">
        <v>1</v>
      </c>
      <c r="C265" s="6" t="s">
        <v>2</v>
      </c>
      <c r="D265" s="6" t="s">
        <v>3</v>
      </c>
      <c r="E265" s="6" t="s">
        <v>2</v>
      </c>
      <c r="F265" s="6" t="s">
        <v>3</v>
      </c>
      <c r="G265" s="6" t="s">
        <v>2</v>
      </c>
      <c r="H265" s="6" t="s">
        <v>4</v>
      </c>
      <c r="I265" s="6" t="s">
        <v>5</v>
      </c>
      <c r="J265"/>
    </row>
    <row r="266" spans="1:10" x14ac:dyDescent="0.25">
      <c r="A266" s="12" t="s">
        <v>408</v>
      </c>
      <c r="B266" t="s">
        <v>409</v>
      </c>
      <c r="C266" s="4">
        <v>500</v>
      </c>
      <c r="D266" s="4">
        <v>266.10000000000002</v>
      </c>
      <c r="E266" s="4">
        <v>500</v>
      </c>
      <c r="F266" s="4">
        <f>442.92-28.72</f>
        <v>414.20000000000005</v>
      </c>
      <c r="G266" s="4">
        <v>500</v>
      </c>
      <c r="H266" s="4">
        <v>764.25</v>
      </c>
      <c r="I266" s="4">
        <v>500</v>
      </c>
    </row>
    <row r="267" spans="1:10" x14ac:dyDescent="0.25">
      <c r="B267" s="11" t="s">
        <v>410</v>
      </c>
      <c r="C267" s="10">
        <f>C266</f>
        <v>500</v>
      </c>
      <c r="D267" s="10">
        <f t="shared" ref="D267:I267" si="47">D266</f>
        <v>266.10000000000002</v>
      </c>
      <c r="E267" s="10">
        <f t="shared" si="47"/>
        <v>500</v>
      </c>
      <c r="F267" s="10">
        <f t="shared" si="47"/>
        <v>414.20000000000005</v>
      </c>
      <c r="G267" s="10">
        <f t="shared" si="47"/>
        <v>500</v>
      </c>
      <c r="H267" s="10">
        <f t="shared" si="47"/>
        <v>764.25</v>
      </c>
      <c r="I267" s="10">
        <f t="shared" si="47"/>
        <v>500</v>
      </c>
    </row>
    <row r="269" spans="1:10" x14ac:dyDescent="0.25">
      <c r="A269" s="12" t="s">
        <v>411</v>
      </c>
      <c r="B269" t="s">
        <v>412</v>
      </c>
      <c r="C269" s="4">
        <v>200</v>
      </c>
      <c r="D269" s="4">
        <v>142.41999999999999</v>
      </c>
      <c r="E269" s="4">
        <v>200</v>
      </c>
      <c r="F269" s="4">
        <v>164</v>
      </c>
      <c r="G269" s="4">
        <v>200</v>
      </c>
      <c r="H269" s="4">
        <v>129.58000000000001</v>
      </c>
      <c r="I269" s="4">
        <v>200</v>
      </c>
    </row>
    <row r="270" spans="1:10" x14ac:dyDescent="0.25">
      <c r="B270" s="11" t="s">
        <v>413</v>
      </c>
      <c r="C270" s="10">
        <f>C269</f>
        <v>200</v>
      </c>
      <c r="D270" s="10">
        <f t="shared" ref="D270:I270" si="48">D269</f>
        <v>142.41999999999999</v>
      </c>
      <c r="E270" s="10">
        <f t="shared" si="48"/>
        <v>200</v>
      </c>
      <c r="F270" s="10">
        <f t="shared" si="48"/>
        <v>164</v>
      </c>
      <c r="G270" s="10">
        <f t="shared" si="48"/>
        <v>200</v>
      </c>
      <c r="H270" s="10">
        <f t="shared" si="48"/>
        <v>129.58000000000001</v>
      </c>
      <c r="I270" s="10">
        <f t="shared" si="48"/>
        <v>200</v>
      </c>
    </row>
    <row r="272" spans="1:10" x14ac:dyDescent="0.25">
      <c r="A272" s="12" t="s">
        <v>414</v>
      </c>
      <c r="B272" t="s">
        <v>415</v>
      </c>
      <c r="C272" s="4">
        <v>0</v>
      </c>
      <c r="D272" s="4">
        <v>0</v>
      </c>
      <c r="E272" s="4">
        <v>5000</v>
      </c>
      <c r="F272" s="4">
        <v>0</v>
      </c>
      <c r="G272" s="4">
        <v>5000</v>
      </c>
      <c r="H272" s="4">
        <v>500</v>
      </c>
      <c r="I272" s="4">
        <v>5000</v>
      </c>
    </row>
    <row r="273" spans="1:9" x14ac:dyDescent="0.25">
      <c r="B273" s="11" t="s">
        <v>416</v>
      </c>
      <c r="C273" s="10">
        <f>C272</f>
        <v>0</v>
      </c>
      <c r="D273" s="10">
        <f t="shared" ref="D273:I273" si="49">D272</f>
        <v>0</v>
      </c>
      <c r="E273" s="10">
        <f t="shared" si="49"/>
        <v>5000</v>
      </c>
      <c r="F273" s="10">
        <f t="shared" si="49"/>
        <v>0</v>
      </c>
      <c r="G273" s="10">
        <f t="shared" si="49"/>
        <v>5000</v>
      </c>
      <c r="H273" s="10">
        <f t="shared" si="49"/>
        <v>500</v>
      </c>
      <c r="I273" s="10">
        <f t="shared" si="49"/>
        <v>5000</v>
      </c>
    </row>
    <row r="274" spans="1:9" x14ac:dyDescent="0.25">
      <c r="B274" s="47" t="s">
        <v>417</v>
      </c>
      <c r="C274" s="48">
        <f>C267+C270+C273</f>
        <v>700</v>
      </c>
      <c r="D274" s="48">
        <f t="shared" ref="D274:I274" si="50">D267+D270+D273</f>
        <v>408.52</v>
      </c>
      <c r="E274" s="48">
        <f t="shared" si="50"/>
        <v>5700</v>
      </c>
      <c r="F274" s="48">
        <f t="shared" si="50"/>
        <v>578.20000000000005</v>
      </c>
      <c r="G274" s="48">
        <f t="shared" si="50"/>
        <v>5700</v>
      </c>
      <c r="H274" s="48">
        <f t="shared" si="50"/>
        <v>1393.83</v>
      </c>
      <c r="I274" s="48">
        <f t="shared" si="50"/>
        <v>5700</v>
      </c>
    </row>
    <row r="276" spans="1:9" x14ac:dyDescent="0.25">
      <c r="A276" s="12" t="s">
        <v>418</v>
      </c>
      <c r="B276" t="s">
        <v>419</v>
      </c>
      <c r="C276" s="4">
        <v>700</v>
      </c>
      <c r="D276" s="4">
        <v>0</v>
      </c>
      <c r="E276" s="4">
        <v>700</v>
      </c>
      <c r="F276" s="4">
        <v>0</v>
      </c>
      <c r="G276" s="4">
        <v>700</v>
      </c>
      <c r="H276" s="4">
        <v>0</v>
      </c>
      <c r="I276" s="4">
        <v>700</v>
      </c>
    </row>
    <row r="277" spans="1:9" x14ac:dyDescent="0.25">
      <c r="B277" s="11" t="s">
        <v>420</v>
      </c>
      <c r="C277" s="10">
        <f>C276</f>
        <v>700</v>
      </c>
      <c r="D277" s="10">
        <f t="shared" ref="D277:I277" si="51">D276</f>
        <v>0</v>
      </c>
      <c r="E277" s="10">
        <f t="shared" si="51"/>
        <v>700</v>
      </c>
      <c r="F277" s="10">
        <f t="shared" si="51"/>
        <v>0</v>
      </c>
      <c r="G277" s="10">
        <f t="shared" si="51"/>
        <v>700</v>
      </c>
      <c r="H277" s="10">
        <f t="shared" si="51"/>
        <v>0</v>
      </c>
      <c r="I277" s="10">
        <f t="shared" si="51"/>
        <v>700</v>
      </c>
    </row>
    <row r="279" spans="1:9" x14ac:dyDescent="0.25">
      <c r="A279" s="12" t="s">
        <v>421</v>
      </c>
      <c r="B279" t="s">
        <v>423</v>
      </c>
      <c r="C279" s="4">
        <v>4000</v>
      </c>
      <c r="D279" s="4">
        <v>0</v>
      </c>
      <c r="E279" s="4">
        <v>4000</v>
      </c>
      <c r="F279" s="4">
        <v>0</v>
      </c>
      <c r="G279" s="4">
        <v>4000</v>
      </c>
      <c r="H279" s="4">
        <v>0</v>
      </c>
      <c r="I279" s="4">
        <v>4000</v>
      </c>
    </row>
    <row r="280" spans="1:9" x14ac:dyDescent="0.25">
      <c r="A280" s="12" t="s">
        <v>422</v>
      </c>
      <c r="B280" t="s">
        <v>424</v>
      </c>
      <c r="C280" s="4">
        <v>4000</v>
      </c>
      <c r="D280" s="4">
        <v>2677.2</v>
      </c>
      <c r="E280" s="4">
        <v>4000</v>
      </c>
      <c r="F280" s="4">
        <f>2253.99-6.29</f>
        <v>2247.6999999999998</v>
      </c>
      <c r="G280" s="4">
        <v>4000</v>
      </c>
      <c r="H280" s="4">
        <v>1475.96</v>
      </c>
      <c r="I280" s="4">
        <v>4000</v>
      </c>
    </row>
    <row r="281" spans="1:9" x14ac:dyDescent="0.25">
      <c r="B281" s="11" t="s">
        <v>425</v>
      </c>
      <c r="C281" s="10">
        <f>SUM(C279:C280)</f>
        <v>8000</v>
      </c>
      <c r="D281" s="10">
        <f t="shared" ref="D281:I281" si="52">SUM(D279:D280)</f>
        <v>2677.2</v>
      </c>
      <c r="E281" s="10">
        <f t="shared" si="52"/>
        <v>8000</v>
      </c>
      <c r="F281" s="10">
        <f t="shared" si="52"/>
        <v>2247.6999999999998</v>
      </c>
      <c r="G281" s="10">
        <f t="shared" si="52"/>
        <v>8000</v>
      </c>
      <c r="H281" s="10">
        <f t="shared" si="52"/>
        <v>1475.96</v>
      </c>
      <c r="I281" s="10">
        <f t="shared" si="52"/>
        <v>8000</v>
      </c>
    </row>
    <row r="283" spans="1:9" x14ac:dyDescent="0.25">
      <c r="A283" s="12" t="s">
        <v>426</v>
      </c>
      <c r="B283" t="s">
        <v>428</v>
      </c>
      <c r="C283" s="4">
        <v>4000</v>
      </c>
      <c r="D283" s="4">
        <v>2145</v>
      </c>
      <c r="E283" s="4">
        <v>4000</v>
      </c>
      <c r="F283" s="4">
        <v>1484</v>
      </c>
      <c r="G283" s="4">
        <v>4000</v>
      </c>
      <c r="H283" s="4">
        <f>1863.5+201</f>
        <v>2064.5</v>
      </c>
      <c r="I283" s="4">
        <v>4000</v>
      </c>
    </row>
    <row r="284" spans="1:9" x14ac:dyDescent="0.25">
      <c r="A284" s="12" t="s">
        <v>427</v>
      </c>
      <c r="B284" t="s">
        <v>429</v>
      </c>
      <c r="C284" s="4">
        <v>4000</v>
      </c>
      <c r="D284" s="4">
        <v>8855.9699999999993</v>
      </c>
      <c r="E284" s="4">
        <v>4000</v>
      </c>
      <c r="F284" s="4">
        <v>3138.67</v>
      </c>
      <c r="G284" s="4">
        <v>4000</v>
      </c>
      <c r="H284" s="4">
        <v>2305.37</v>
      </c>
      <c r="I284" s="4">
        <v>4000</v>
      </c>
    </row>
    <row r="285" spans="1:9" x14ac:dyDescent="0.25">
      <c r="B285" s="11" t="s">
        <v>430</v>
      </c>
      <c r="C285" s="10">
        <f>SUM(C283:C284)</f>
        <v>8000</v>
      </c>
      <c r="D285" s="10">
        <f t="shared" ref="D285:I285" si="53">SUM(D283:D284)</f>
        <v>11000.97</v>
      </c>
      <c r="E285" s="10">
        <f t="shared" si="53"/>
        <v>8000</v>
      </c>
      <c r="F285" s="10">
        <f t="shared" si="53"/>
        <v>4622.67</v>
      </c>
      <c r="G285" s="10">
        <f t="shared" si="53"/>
        <v>8000</v>
      </c>
      <c r="H285" s="10">
        <f t="shared" si="53"/>
        <v>4369.87</v>
      </c>
      <c r="I285" s="10">
        <f t="shared" si="53"/>
        <v>8000</v>
      </c>
    </row>
    <row r="287" spans="1:9" x14ac:dyDescent="0.25">
      <c r="A287" s="12" t="s">
        <v>431</v>
      </c>
      <c r="B287" t="s">
        <v>434</v>
      </c>
      <c r="C287" s="4">
        <v>65000</v>
      </c>
      <c r="D287" s="4">
        <v>84240.98</v>
      </c>
      <c r="E287" s="4">
        <v>65000</v>
      </c>
      <c r="F287" s="4">
        <f>48686.95-6082.42</f>
        <v>42604.53</v>
      </c>
      <c r="G287" s="4">
        <v>54000</v>
      </c>
      <c r="H287" s="4">
        <f>58723.94-10153.78+3575.32</f>
        <v>52145.48</v>
      </c>
      <c r="I287" s="4">
        <v>54000</v>
      </c>
    </row>
    <row r="288" spans="1:9" x14ac:dyDescent="0.25">
      <c r="A288" s="12" t="s">
        <v>431</v>
      </c>
      <c r="B288" t="s">
        <v>435</v>
      </c>
      <c r="C288" s="4">
        <v>4000</v>
      </c>
      <c r="D288" s="4">
        <v>5437.5</v>
      </c>
      <c r="E288" s="4">
        <v>4000</v>
      </c>
      <c r="F288" s="4">
        <v>4280</v>
      </c>
      <c r="G288" s="4">
        <v>3000</v>
      </c>
      <c r="H288" s="4">
        <f>7060-392+868</f>
        <v>7536</v>
      </c>
      <c r="I288" s="4">
        <v>3000</v>
      </c>
    </row>
    <row r="289" spans="1:10" x14ac:dyDescent="0.25">
      <c r="A289" s="12" t="s">
        <v>432</v>
      </c>
      <c r="B289" t="s">
        <v>436</v>
      </c>
      <c r="C289" s="4">
        <v>5000</v>
      </c>
      <c r="D289" s="4">
        <v>0</v>
      </c>
      <c r="E289" s="4">
        <v>5000</v>
      </c>
      <c r="F289" s="4">
        <v>0</v>
      </c>
      <c r="G289" s="4">
        <v>5000</v>
      </c>
      <c r="H289" s="4">
        <v>7006.38</v>
      </c>
      <c r="I289" s="4">
        <v>5000</v>
      </c>
    </row>
    <row r="290" spans="1:10" x14ac:dyDescent="0.25">
      <c r="A290" s="12" t="s">
        <v>433</v>
      </c>
      <c r="B290" t="s">
        <v>437</v>
      </c>
      <c r="C290" s="4">
        <v>45000</v>
      </c>
      <c r="D290" s="4">
        <v>73096.38</v>
      </c>
      <c r="E290" s="4">
        <v>50000</v>
      </c>
      <c r="F290" s="4">
        <f>50770.51-2949.76</f>
        <v>47820.75</v>
      </c>
      <c r="G290" s="4">
        <v>45000</v>
      </c>
      <c r="H290" s="4">
        <f>37797.87-472.1</f>
        <v>37325.770000000004</v>
      </c>
      <c r="I290" s="4">
        <v>45000</v>
      </c>
    </row>
    <row r="291" spans="1:10" x14ac:dyDescent="0.25">
      <c r="A291" s="12" t="s">
        <v>433</v>
      </c>
      <c r="B291" t="s">
        <v>438</v>
      </c>
      <c r="C291" s="4">
        <v>4000</v>
      </c>
      <c r="D291" s="4">
        <v>1974.68</v>
      </c>
      <c r="E291" s="4">
        <v>4000</v>
      </c>
      <c r="F291" s="4">
        <v>1231.48</v>
      </c>
      <c r="G291" s="4">
        <v>2000</v>
      </c>
      <c r="H291" s="4">
        <v>1223.43</v>
      </c>
      <c r="I291" s="4">
        <v>2000</v>
      </c>
    </row>
    <row r="292" spans="1:10" x14ac:dyDescent="0.25">
      <c r="B292" s="11" t="s">
        <v>439</v>
      </c>
      <c r="C292" s="10">
        <f>SUM(C287:C291)</f>
        <v>123000</v>
      </c>
      <c r="D292" s="10">
        <f t="shared" ref="D292:I292" si="54">SUM(D287:D291)</f>
        <v>164749.53999999998</v>
      </c>
      <c r="E292" s="10">
        <f t="shared" si="54"/>
        <v>128000</v>
      </c>
      <c r="F292" s="10">
        <f t="shared" si="54"/>
        <v>95936.76</v>
      </c>
      <c r="G292" s="10">
        <f t="shared" si="54"/>
        <v>109000</v>
      </c>
      <c r="H292" s="10">
        <f t="shared" si="54"/>
        <v>105237.06</v>
      </c>
      <c r="I292" s="10">
        <f t="shared" si="54"/>
        <v>109000</v>
      </c>
    </row>
    <row r="294" spans="1:10" x14ac:dyDescent="0.25">
      <c r="A294" s="12" t="s">
        <v>440</v>
      </c>
      <c r="B294" t="s">
        <v>441</v>
      </c>
      <c r="C294" s="4">
        <v>600</v>
      </c>
      <c r="D294" s="4">
        <v>600</v>
      </c>
      <c r="E294" s="4">
        <v>600</v>
      </c>
      <c r="F294" s="4">
        <v>600</v>
      </c>
      <c r="G294" s="4">
        <v>600</v>
      </c>
      <c r="H294" s="4">
        <v>0</v>
      </c>
      <c r="I294" s="4">
        <v>600</v>
      </c>
    </row>
    <row r="295" spans="1:10" x14ac:dyDescent="0.25">
      <c r="B295" s="11" t="s">
        <v>442</v>
      </c>
      <c r="C295" s="10">
        <f>C294</f>
        <v>600</v>
      </c>
      <c r="D295" s="10">
        <f t="shared" ref="D295:I295" si="55">D294</f>
        <v>600</v>
      </c>
      <c r="E295" s="10">
        <f t="shared" si="55"/>
        <v>600</v>
      </c>
      <c r="F295" s="10">
        <f t="shared" si="55"/>
        <v>600</v>
      </c>
      <c r="G295" s="10">
        <f t="shared" si="55"/>
        <v>600</v>
      </c>
      <c r="H295" s="10">
        <f t="shared" si="55"/>
        <v>0</v>
      </c>
      <c r="I295" s="10">
        <f t="shared" si="55"/>
        <v>600</v>
      </c>
    </row>
    <row r="297" spans="1:10" ht="15.75" x14ac:dyDescent="0.25">
      <c r="A297" s="26" t="s">
        <v>30</v>
      </c>
      <c r="B297" s="26"/>
      <c r="C297" s="26"/>
      <c r="D297" s="26"/>
      <c r="E297" s="26"/>
      <c r="F297" s="26"/>
      <c r="G297" s="26"/>
      <c r="H297" s="26"/>
      <c r="I297" s="26"/>
      <c r="J297" s="26"/>
    </row>
    <row r="298" spans="1:10" ht="15.75" x14ac:dyDescent="0.25">
      <c r="A298" s="26" t="s">
        <v>109</v>
      </c>
      <c r="B298" s="26"/>
      <c r="C298" s="26"/>
      <c r="D298" s="26"/>
      <c r="E298" s="26"/>
      <c r="F298" s="26"/>
      <c r="G298" s="26"/>
      <c r="H298" s="26"/>
      <c r="I298" s="26"/>
      <c r="J298" s="26"/>
    </row>
    <row r="299" spans="1:10" ht="15.75" x14ac:dyDescent="0.25">
      <c r="A299" s="26" t="s">
        <v>32</v>
      </c>
      <c r="B299" s="26"/>
      <c r="C299" s="26"/>
      <c r="D299" s="26"/>
      <c r="E299" s="26"/>
      <c r="F299" s="26"/>
      <c r="G299" s="26"/>
      <c r="H299" s="26"/>
      <c r="I299" s="26"/>
      <c r="J299" s="26"/>
    </row>
    <row r="300" spans="1:10" x14ac:dyDescent="0.25">
      <c r="D300" s="5"/>
    </row>
    <row r="301" spans="1:10" x14ac:dyDescent="0.25">
      <c r="A301" s="23"/>
      <c r="B301" s="3"/>
      <c r="C301" s="25">
        <v>2022</v>
      </c>
      <c r="D301" s="25"/>
      <c r="E301" s="25">
        <v>2023</v>
      </c>
      <c r="F301" s="25"/>
      <c r="G301" s="25">
        <v>2024</v>
      </c>
      <c r="H301" s="25"/>
      <c r="I301" s="8">
        <v>2025</v>
      </c>
    </row>
    <row r="302" spans="1:10" x14ac:dyDescent="0.25">
      <c r="A302" s="24" t="s">
        <v>0</v>
      </c>
      <c r="B302" s="3" t="s">
        <v>1</v>
      </c>
      <c r="C302" s="6" t="s">
        <v>2</v>
      </c>
      <c r="D302" s="6" t="s">
        <v>3</v>
      </c>
      <c r="E302" s="6" t="s">
        <v>2</v>
      </c>
      <c r="F302" s="6" t="s">
        <v>3</v>
      </c>
      <c r="G302" s="6" t="s">
        <v>2</v>
      </c>
      <c r="H302" s="6" t="s">
        <v>4</v>
      </c>
      <c r="I302" s="6" t="s">
        <v>5</v>
      </c>
    </row>
    <row r="303" spans="1:10" x14ac:dyDescent="0.25">
      <c r="A303" s="12" t="s">
        <v>443</v>
      </c>
      <c r="B303" t="s">
        <v>445</v>
      </c>
      <c r="C303" s="4">
        <v>8500</v>
      </c>
      <c r="D303" s="4">
        <v>8500</v>
      </c>
      <c r="E303" s="4">
        <v>8500</v>
      </c>
      <c r="F303" s="4">
        <v>8500</v>
      </c>
      <c r="G303" s="4">
        <v>8500</v>
      </c>
      <c r="H303" s="4">
        <v>31.92</v>
      </c>
      <c r="I303" s="4">
        <v>8500</v>
      </c>
    </row>
    <row r="304" spans="1:10" x14ac:dyDescent="0.25">
      <c r="A304" s="12" t="s">
        <v>444</v>
      </c>
      <c r="B304" t="s">
        <v>445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8500</v>
      </c>
      <c r="I304" s="4">
        <v>0</v>
      </c>
    </row>
    <row r="305" spans="1:9" x14ac:dyDescent="0.25">
      <c r="B305" s="11" t="s">
        <v>446</v>
      </c>
      <c r="C305" s="10">
        <f>SUM(C303:C304)</f>
        <v>8500</v>
      </c>
      <c r="D305" s="10">
        <f t="shared" ref="D305:I305" si="56">SUM(D303:D304)</f>
        <v>8500</v>
      </c>
      <c r="E305" s="10">
        <f t="shared" si="56"/>
        <v>8500</v>
      </c>
      <c r="F305" s="10">
        <f t="shared" si="56"/>
        <v>8500</v>
      </c>
      <c r="G305" s="10">
        <f t="shared" si="56"/>
        <v>8500</v>
      </c>
      <c r="H305" s="10">
        <f t="shared" si="56"/>
        <v>8531.92</v>
      </c>
      <c r="I305" s="10">
        <f t="shared" si="56"/>
        <v>8500</v>
      </c>
    </row>
    <row r="307" spans="1:9" x14ac:dyDescent="0.25">
      <c r="A307" s="12" t="s">
        <v>447</v>
      </c>
      <c r="B307" t="s">
        <v>448</v>
      </c>
      <c r="C307" s="4">
        <v>250</v>
      </c>
      <c r="D307" s="4">
        <v>0</v>
      </c>
      <c r="E307" s="4">
        <v>0</v>
      </c>
      <c r="F307" s="4">
        <v>0</v>
      </c>
      <c r="G307" s="4">
        <v>250</v>
      </c>
      <c r="H307" s="4">
        <v>0</v>
      </c>
      <c r="I307" s="4">
        <v>250</v>
      </c>
    </row>
    <row r="308" spans="1:9" x14ac:dyDescent="0.25">
      <c r="B308" s="11" t="s">
        <v>449</v>
      </c>
      <c r="C308" s="10">
        <f>C307</f>
        <v>250</v>
      </c>
      <c r="D308" s="10">
        <f t="shared" ref="D308:I308" si="57">D307</f>
        <v>0</v>
      </c>
      <c r="E308" s="10">
        <f t="shared" si="57"/>
        <v>0</v>
      </c>
      <c r="F308" s="10">
        <f t="shared" si="57"/>
        <v>0</v>
      </c>
      <c r="G308" s="10">
        <f t="shared" si="57"/>
        <v>250</v>
      </c>
      <c r="H308" s="10">
        <f t="shared" si="57"/>
        <v>0</v>
      </c>
      <c r="I308" s="10">
        <f t="shared" si="57"/>
        <v>250</v>
      </c>
    </row>
    <row r="310" spans="1:9" x14ac:dyDescent="0.25">
      <c r="A310" s="12" t="s">
        <v>450</v>
      </c>
      <c r="B310" t="s">
        <v>451</v>
      </c>
      <c r="C310" s="4">
        <v>5000</v>
      </c>
      <c r="D310" s="4">
        <v>9250</v>
      </c>
      <c r="E310" s="4">
        <v>10000</v>
      </c>
      <c r="F310" s="4">
        <v>12041</v>
      </c>
      <c r="G310" s="4">
        <v>10000</v>
      </c>
      <c r="H310" s="4">
        <v>9684.74</v>
      </c>
      <c r="I310" s="4">
        <v>10000</v>
      </c>
    </row>
    <row r="311" spans="1:9" x14ac:dyDescent="0.25">
      <c r="B311" s="11" t="s">
        <v>452</v>
      </c>
      <c r="C311" s="10">
        <f>C310</f>
        <v>5000</v>
      </c>
      <c r="D311" s="10">
        <f t="shared" ref="D311:I311" si="58">D310</f>
        <v>9250</v>
      </c>
      <c r="E311" s="10">
        <f t="shared" si="58"/>
        <v>10000</v>
      </c>
      <c r="F311" s="10">
        <f t="shared" si="58"/>
        <v>12041</v>
      </c>
      <c r="G311" s="10">
        <f t="shared" si="58"/>
        <v>10000</v>
      </c>
      <c r="H311" s="10">
        <f t="shared" si="58"/>
        <v>9684.74</v>
      </c>
      <c r="I311" s="10">
        <f t="shared" si="58"/>
        <v>10000</v>
      </c>
    </row>
    <row r="313" spans="1:9" x14ac:dyDescent="0.25">
      <c r="A313" s="12" t="s">
        <v>453</v>
      </c>
      <c r="B313" t="s">
        <v>454</v>
      </c>
      <c r="C313" s="4">
        <v>800</v>
      </c>
      <c r="D313" s="4">
        <v>800</v>
      </c>
      <c r="E313" s="4">
        <v>800</v>
      </c>
      <c r="F313" s="4">
        <v>800</v>
      </c>
      <c r="G313" s="4">
        <v>800</v>
      </c>
      <c r="H313" s="4">
        <v>25060</v>
      </c>
      <c r="I313" s="4">
        <v>800</v>
      </c>
    </row>
    <row r="314" spans="1:9" x14ac:dyDescent="0.25">
      <c r="B314" s="11" t="s">
        <v>455</v>
      </c>
      <c r="C314" s="10">
        <f>C313</f>
        <v>800</v>
      </c>
      <c r="D314" s="10">
        <f t="shared" ref="D314:I314" si="59">D313</f>
        <v>800</v>
      </c>
      <c r="E314" s="10">
        <f t="shared" si="59"/>
        <v>800</v>
      </c>
      <c r="F314" s="10">
        <f t="shared" si="59"/>
        <v>800</v>
      </c>
      <c r="G314" s="10">
        <f t="shared" si="59"/>
        <v>800</v>
      </c>
      <c r="H314" s="10">
        <f t="shared" si="59"/>
        <v>25060</v>
      </c>
      <c r="I314" s="10">
        <f t="shared" si="59"/>
        <v>800</v>
      </c>
    </row>
    <row r="315" spans="1:9" x14ac:dyDescent="0.25">
      <c r="B315" s="47" t="s">
        <v>456</v>
      </c>
      <c r="C315" s="48">
        <f>C277+C281+C285+C292+C295+C305+C308+C311+C314</f>
        <v>154850</v>
      </c>
      <c r="D315" s="48">
        <f>D277+D281+D285+D292+D295+D305+D308+D311+D314</f>
        <v>197577.70999999996</v>
      </c>
      <c r="E315" s="48">
        <f>E277+E281+E285+E292+E295+E305+E308+E311+E314</f>
        <v>164600</v>
      </c>
      <c r="F315" s="48">
        <f>F277+F281+F285+F292+F295+F305+F308+F311+F314</f>
        <v>124748.12999999999</v>
      </c>
      <c r="G315" s="48">
        <f>G277+G281+G285+G292+G295+G305+G308+G311+G314</f>
        <v>145850</v>
      </c>
      <c r="H315" s="48">
        <f>H277+H281+H285+H292+H295+H305+H308+H311+H314</f>
        <v>154359.54999999999</v>
      </c>
      <c r="I315" s="48">
        <f>I277+I281+I285+I292+I295+I305+I308+I311+I314</f>
        <v>145850</v>
      </c>
    </row>
    <row r="317" spans="1:9" x14ac:dyDescent="0.25">
      <c r="A317" s="12" t="s">
        <v>457</v>
      </c>
      <c r="B317" t="s">
        <v>458</v>
      </c>
      <c r="C317" s="4">
        <v>1000</v>
      </c>
      <c r="D317" s="4">
        <v>295</v>
      </c>
      <c r="E317" s="4">
        <v>1000</v>
      </c>
      <c r="F317" s="4">
        <v>877.35</v>
      </c>
      <c r="G317" s="4">
        <v>1000</v>
      </c>
      <c r="H317" s="4">
        <v>226.36</v>
      </c>
      <c r="I317" s="4">
        <v>1000</v>
      </c>
    </row>
    <row r="318" spans="1:9" x14ac:dyDescent="0.25">
      <c r="B318" s="11" t="s">
        <v>459</v>
      </c>
      <c r="C318" s="10">
        <f>C317</f>
        <v>1000</v>
      </c>
      <c r="D318" s="10">
        <f t="shared" ref="D318:I318" si="60">D317</f>
        <v>295</v>
      </c>
      <c r="E318" s="10">
        <f t="shared" si="60"/>
        <v>1000</v>
      </c>
      <c r="F318" s="10">
        <f t="shared" si="60"/>
        <v>877.35</v>
      </c>
      <c r="G318" s="10">
        <f t="shared" si="60"/>
        <v>1000</v>
      </c>
      <c r="H318" s="10">
        <f t="shared" si="60"/>
        <v>226.36</v>
      </c>
      <c r="I318" s="10">
        <f t="shared" si="60"/>
        <v>1000</v>
      </c>
    </row>
    <row r="320" spans="1:9" x14ac:dyDescent="0.25">
      <c r="A320" s="12" t="s">
        <v>460</v>
      </c>
      <c r="B320" t="s">
        <v>461</v>
      </c>
      <c r="C320" s="4">
        <v>1000</v>
      </c>
      <c r="D320" s="4">
        <v>0</v>
      </c>
      <c r="E320" s="4">
        <v>1000</v>
      </c>
      <c r="F320" s="4">
        <v>546.04999999999995</v>
      </c>
      <c r="G320" s="4">
        <v>1000</v>
      </c>
      <c r="H320" s="4">
        <v>31.2</v>
      </c>
      <c r="I320" s="4">
        <v>1000</v>
      </c>
    </row>
    <row r="321" spans="1:10" x14ac:dyDescent="0.25">
      <c r="B321" s="11" t="s">
        <v>462</v>
      </c>
      <c r="C321" s="10">
        <f>C320</f>
        <v>1000</v>
      </c>
      <c r="D321" s="10">
        <f t="shared" ref="D321:I321" si="61">D320</f>
        <v>0</v>
      </c>
      <c r="E321" s="10">
        <f t="shared" si="61"/>
        <v>1000</v>
      </c>
      <c r="F321" s="10">
        <f t="shared" si="61"/>
        <v>546.04999999999995</v>
      </c>
      <c r="G321" s="10">
        <f t="shared" si="61"/>
        <v>1000</v>
      </c>
      <c r="H321" s="10">
        <f t="shared" si="61"/>
        <v>31.2</v>
      </c>
      <c r="I321" s="10">
        <f t="shared" si="61"/>
        <v>1000</v>
      </c>
    </row>
    <row r="323" spans="1:10" x14ac:dyDescent="0.25">
      <c r="A323" s="12" t="s">
        <v>463</v>
      </c>
      <c r="B323" t="s">
        <v>464</v>
      </c>
      <c r="C323" s="4">
        <v>1225</v>
      </c>
      <c r="D323" s="4">
        <v>550</v>
      </c>
      <c r="E323" s="4">
        <v>1225</v>
      </c>
      <c r="F323" s="4">
        <v>1025</v>
      </c>
      <c r="G323" s="4">
        <v>1225</v>
      </c>
      <c r="H323" s="4">
        <v>300</v>
      </c>
      <c r="I323" s="4">
        <v>1225</v>
      </c>
    </row>
    <row r="324" spans="1:10" x14ac:dyDescent="0.25">
      <c r="B324" s="11" t="s">
        <v>465</v>
      </c>
      <c r="C324" s="10">
        <f>C323</f>
        <v>1225</v>
      </c>
      <c r="D324" s="10">
        <f t="shared" ref="D324:I324" si="62">D323</f>
        <v>550</v>
      </c>
      <c r="E324" s="10">
        <f t="shared" si="62"/>
        <v>1225</v>
      </c>
      <c r="F324" s="10">
        <f t="shared" si="62"/>
        <v>1025</v>
      </c>
      <c r="G324" s="10">
        <f t="shared" si="62"/>
        <v>1225</v>
      </c>
      <c r="H324" s="10">
        <f t="shared" si="62"/>
        <v>300</v>
      </c>
      <c r="I324" s="10">
        <f t="shared" si="62"/>
        <v>1225</v>
      </c>
    </row>
    <row r="326" spans="1:10" x14ac:dyDescent="0.25">
      <c r="A326" s="12" t="s">
        <v>466</v>
      </c>
      <c r="B326" t="s">
        <v>468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</row>
    <row r="327" spans="1:10" x14ac:dyDescent="0.25">
      <c r="A327" s="12" t="s">
        <v>467</v>
      </c>
      <c r="B327" t="s">
        <v>469</v>
      </c>
      <c r="C327" s="4">
        <v>28000</v>
      </c>
      <c r="D327" s="4">
        <v>17054.88</v>
      </c>
      <c r="E327" s="4">
        <v>28000</v>
      </c>
      <c r="F327" s="4">
        <v>15583.14</v>
      </c>
      <c r="G327" s="4">
        <v>20000</v>
      </c>
      <c r="H327" s="4">
        <v>12887.15</v>
      </c>
      <c r="I327" s="4">
        <v>20000</v>
      </c>
    </row>
    <row r="328" spans="1:10" x14ac:dyDescent="0.25">
      <c r="B328" s="11" t="s">
        <v>470</v>
      </c>
      <c r="C328" s="10">
        <f>SUM(C326:C327)</f>
        <v>28000</v>
      </c>
      <c r="D328" s="10">
        <f t="shared" ref="D328:I328" si="63">SUM(D326:D327)</f>
        <v>17054.88</v>
      </c>
      <c r="E328" s="10">
        <f t="shared" si="63"/>
        <v>28000</v>
      </c>
      <c r="F328" s="10">
        <f t="shared" si="63"/>
        <v>15583.14</v>
      </c>
      <c r="G328" s="10">
        <f t="shared" si="63"/>
        <v>20000</v>
      </c>
      <c r="H328" s="10">
        <f t="shared" si="63"/>
        <v>12887.15</v>
      </c>
      <c r="I328" s="10">
        <f t="shared" si="63"/>
        <v>20000</v>
      </c>
    </row>
    <row r="330" spans="1:10" x14ac:dyDescent="0.25">
      <c r="A330" s="12" t="s">
        <v>471</v>
      </c>
      <c r="B330" t="s">
        <v>472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</row>
    <row r="331" spans="1:10" x14ac:dyDescent="0.25">
      <c r="B331" s="11" t="s">
        <v>473</v>
      </c>
      <c r="C331" s="10">
        <f>C330</f>
        <v>0</v>
      </c>
      <c r="D331" s="10">
        <f t="shared" ref="D331:I331" si="64">D330</f>
        <v>0</v>
      </c>
      <c r="E331" s="10">
        <f t="shared" si="64"/>
        <v>0</v>
      </c>
      <c r="F331" s="10">
        <f t="shared" si="64"/>
        <v>0</v>
      </c>
      <c r="G331" s="10">
        <f t="shared" si="64"/>
        <v>0</v>
      </c>
      <c r="H331" s="10">
        <f t="shared" si="64"/>
        <v>0</v>
      </c>
      <c r="I331" s="10">
        <f t="shared" si="64"/>
        <v>0</v>
      </c>
    </row>
    <row r="334" spans="1:10" ht="15.75" x14ac:dyDescent="0.25">
      <c r="A334" s="26" t="s">
        <v>30</v>
      </c>
      <c r="B334" s="26"/>
      <c r="C334" s="26"/>
      <c r="D334" s="26"/>
      <c r="E334" s="26"/>
      <c r="F334" s="26"/>
      <c r="G334" s="26"/>
      <c r="H334" s="26"/>
      <c r="I334" s="26"/>
      <c r="J334" s="26"/>
    </row>
    <row r="335" spans="1:10" ht="15.75" x14ac:dyDescent="0.25">
      <c r="A335" s="26" t="s">
        <v>109</v>
      </c>
      <c r="B335" s="26"/>
      <c r="C335" s="26"/>
      <c r="D335" s="26"/>
      <c r="E335" s="26"/>
      <c r="F335" s="26"/>
      <c r="G335" s="26"/>
      <c r="H335" s="26"/>
      <c r="I335" s="26"/>
      <c r="J335" s="26"/>
    </row>
    <row r="336" spans="1:10" ht="15.75" x14ac:dyDescent="0.25">
      <c r="A336" s="26" t="s">
        <v>32</v>
      </c>
      <c r="B336" s="26"/>
      <c r="C336" s="26"/>
      <c r="D336" s="26"/>
      <c r="E336" s="26"/>
      <c r="F336" s="26"/>
      <c r="G336" s="26"/>
      <c r="H336" s="26"/>
      <c r="I336" s="26"/>
      <c r="J336" s="26"/>
    </row>
    <row r="337" spans="1:9" x14ac:dyDescent="0.25">
      <c r="D337" s="5"/>
    </row>
    <row r="338" spans="1:9" x14ac:dyDescent="0.25">
      <c r="A338" s="23"/>
      <c r="B338" s="3"/>
      <c r="C338" s="25">
        <v>2022</v>
      </c>
      <c r="D338" s="25"/>
      <c r="E338" s="25">
        <v>2023</v>
      </c>
      <c r="F338" s="25"/>
      <c r="G338" s="25">
        <v>2024</v>
      </c>
      <c r="H338" s="25"/>
      <c r="I338" s="8">
        <v>2025</v>
      </c>
    </row>
    <row r="339" spans="1:9" x14ac:dyDescent="0.25">
      <c r="A339" s="24" t="s">
        <v>0</v>
      </c>
      <c r="B339" s="3" t="s">
        <v>1</v>
      </c>
      <c r="C339" s="6" t="s">
        <v>2</v>
      </c>
      <c r="D339" s="6" t="s">
        <v>3</v>
      </c>
      <c r="E339" s="6" t="s">
        <v>2</v>
      </c>
      <c r="F339" s="6" t="s">
        <v>3</v>
      </c>
      <c r="G339" s="6" t="s">
        <v>2</v>
      </c>
      <c r="H339" s="6" t="s">
        <v>4</v>
      </c>
      <c r="I339" s="6" t="s">
        <v>5</v>
      </c>
    </row>
    <row r="340" spans="1:9" x14ac:dyDescent="0.25">
      <c r="A340" s="12" t="s">
        <v>474</v>
      </c>
      <c r="B340" t="s">
        <v>475</v>
      </c>
      <c r="C340" s="4">
        <v>500</v>
      </c>
      <c r="D340" s="4">
        <v>0</v>
      </c>
      <c r="E340" s="4">
        <v>500</v>
      </c>
      <c r="F340" s="4">
        <v>0</v>
      </c>
      <c r="G340" s="4">
        <v>4500</v>
      </c>
      <c r="H340" s="4">
        <v>6922.19</v>
      </c>
      <c r="I340" s="4">
        <v>4500</v>
      </c>
    </row>
    <row r="341" spans="1:9" x14ac:dyDescent="0.25">
      <c r="B341" s="11" t="s">
        <v>476</v>
      </c>
      <c r="C341" s="10">
        <f>C340</f>
        <v>500</v>
      </c>
      <c r="D341" s="10">
        <f t="shared" ref="D341:I341" si="65">D340</f>
        <v>0</v>
      </c>
      <c r="E341" s="10">
        <f t="shared" si="65"/>
        <v>500</v>
      </c>
      <c r="F341" s="10">
        <f t="shared" si="65"/>
        <v>0</v>
      </c>
      <c r="G341" s="10">
        <f t="shared" si="65"/>
        <v>4500</v>
      </c>
      <c r="H341" s="10">
        <f t="shared" si="65"/>
        <v>6922.19</v>
      </c>
      <c r="I341" s="10">
        <f t="shared" si="65"/>
        <v>4500</v>
      </c>
    </row>
    <row r="343" spans="1:9" x14ac:dyDescent="0.25">
      <c r="A343" s="12" t="s">
        <v>477</v>
      </c>
      <c r="B343" t="s">
        <v>478</v>
      </c>
      <c r="C343" s="4">
        <v>15000</v>
      </c>
      <c r="D343" s="4">
        <v>10524.05</v>
      </c>
      <c r="E343" s="4">
        <v>15000</v>
      </c>
      <c r="F343" s="4">
        <v>10333.39</v>
      </c>
      <c r="G343" s="4">
        <v>15000</v>
      </c>
      <c r="H343" s="4">
        <v>7571.6</v>
      </c>
      <c r="I343" s="4">
        <v>15000</v>
      </c>
    </row>
    <row r="344" spans="1:9" x14ac:dyDescent="0.25">
      <c r="B344" s="11" t="s">
        <v>479</v>
      </c>
      <c r="C344" s="10">
        <f>C343</f>
        <v>15000</v>
      </c>
      <c r="D344" s="10">
        <f t="shared" ref="D344:I344" si="66">D343</f>
        <v>10524.05</v>
      </c>
      <c r="E344" s="10">
        <f t="shared" si="66"/>
        <v>15000</v>
      </c>
      <c r="F344" s="10">
        <f t="shared" si="66"/>
        <v>10333.39</v>
      </c>
      <c r="G344" s="10">
        <f t="shared" si="66"/>
        <v>15000</v>
      </c>
      <c r="H344" s="10">
        <f t="shared" si="66"/>
        <v>7571.6</v>
      </c>
      <c r="I344" s="10">
        <f t="shared" si="66"/>
        <v>15000</v>
      </c>
    </row>
    <row r="346" spans="1:9" x14ac:dyDescent="0.25">
      <c r="A346" s="12" t="s">
        <v>480</v>
      </c>
      <c r="B346" t="s">
        <v>482</v>
      </c>
      <c r="C346" s="4">
        <v>500</v>
      </c>
      <c r="D346" s="4">
        <v>0</v>
      </c>
      <c r="E346" s="4">
        <v>500</v>
      </c>
      <c r="F346" s="4">
        <v>38</v>
      </c>
      <c r="G346" s="4">
        <v>500</v>
      </c>
      <c r="H346" s="4">
        <v>0</v>
      </c>
      <c r="I346" s="4">
        <v>500</v>
      </c>
    </row>
    <row r="347" spans="1:9" x14ac:dyDescent="0.25">
      <c r="B347" s="11" t="s">
        <v>481</v>
      </c>
      <c r="C347" s="10">
        <f>C346</f>
        <v>500</v>
      </c>
      <c r="D347" s="10">
        <f t="shared" ref="D347:I347" si="67">D346</f>
        <v>0</v>
      </c>
      <c r="E347" s="10">
        <f t="shared" si="67"/>
        <v>500</v>
      </c>
      <c r="F347" s="10">
        <f t="shared" si="67"/>
        <v>38</v>
      </c>
      <c r="G347" s="10">
        <f t="shared" si="67"/>
        <v>500</v>
      </c>
      <c r="H347" s="10">
        <f t="shared" si="67"/>
        <v>0</v>
      </c>
      <c r="I347" s="10">
        <f t="shared" si="67"/>
        <v>500</v>
      </c>
    </row>
    <row r="349" spans="1:9" x14ac:dyDescent="0.25">
      <c r="A349" s="12" t="s">
        <v>483</v>
      </c>
      <c r="B349" t="s">
        <v>485</v>
      </c>
      <c r="C349" s="4">
        <v>0</v>
      </c>
      <c r="D349" s="4">
        <v>0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</row>
    <row r="350" spans="1:9" x14ac:dyDescent="0.25">
      <c r="B350" s="11" t="s">
        <v>484</v>
      </c>
      <c r="C350" s="10">
        <f>C349</f>
        <v>0</v>
      </c>
      <c r="D350" s="10">
        <f t="shared" ref="D350:I350" si="68">D349</f>
        <v>0</v>
      </c>
      <c r="E350" s="10">
        <f t="shared" si="68"/>
        <v>0</v>
      </c>
      <c r="F350" s="10">
        <f t="shared" si="68"/>
        <v>0</v>
      </c>
      <c r="G350" s="10">
        <f t="shared" si="68"/>
        <v>0</v>
      </c>
      <c r="H350" s="10">
        <f t="shared" si="68"/>
        <v>0</v>
      </c>
      <c r="I350" s="10">
        <f t="shared" si="68"/>
        <v>0</v>
      </c>
    </row>
    <row r="352" spans="1:9" x14ac:dyDescent="0.25">
      <c r="A352" s="12" t="s">
        <v>486</v>
      </c>
      <c r="B352" t="s">
        <v>488</v>
      </c>
      <c r="C352" s="4">
        <v>3000</v>
      </c>
      <c r="D352" s="4">
        <v>2160</v>
      </c>
      <c r="E352" s="4">
        <v>3000</v>
      </c>
      <c r="F352" s="4">
        <v>1632</v>
      </c>
      <c r="G352" s="4">
        <v>3000</v>
      </c>
      <c r="H352" s="4">
        <f>613.5+304.5</f>
        <v>918</v>
      </c>
      <c r="I352" s="4">
        <v>3000</v>
      </c>
    </row>
    <row r="353" spans="1:9" x14ac:dyDescent="0.25">
      <c r="A353" s="12" t="s">
        <v>487</v>
      </c>
      <c r="B353" t="s">
        <v>489</v>
      </c>
      <c r="C353" s="4">
        <v>5000</v>
      </c>
      <c r="D353" s="4">
        <v>150.63999999999999</v>
      </c>
      <c r="E353" s="4">
        <v>5000</v>
      </c>
      <c r="F353" s="4">
        <v>0</v>
      </c>
      <c r="G353" s="4">
        <v>2000</v>
      </c>
      <c r="H353" s="4">
        <v>162.62</v>
      </c>
      <c r="I353" s="4">
        <v>2000</v>
      </c>
    </row>
    <row r="354" spans="1:9" x14ac:dyDescent="0.25">
      <c r="B354" s="11" t="s">
        <v>497</v>
      </c>
      <c r="C354" s="10">
        <f>SUM(C352:C353)</f>
        <v>8000</v>
      </c>
      <c r="D354" s="10">
        <f t="shared" ref="D354:I354" si="69">SUM(D352:D353)</f>
        <v>2310.64</v>
      </c>
      <c r="E354" s="10">
        <f t="shared" si="69"/>
        <v>8000</v>
      </c>
      <c r="F354" s="10">
        <f t="shared" si="69"/>
        <v>1632</v>
      </c>
      <c r="G354" s="10">
        <f t="shared" si="69"/>
        <v>5000</v>
      </c>
      <c r="H354" s="10">
        <f t="shared" si="69"/>
        <v>1080.6199999999999</v>
      </c>
      <c r="I354" s="10">
        <f t="shared" si="69"/>
        <v>5000</v>
      </c>
    </row>
    <row r="355" spans="1:9" x14ac:dyDescent="0.25">
      <c r="B355" s="47" t="s">
        <v>490</v>
      </c>
      <c r="C355" s="48">
        <f>C318+C321+C324+C328+C331+C341+C344+C347+C350+C354</f>
        <v>55225</v>
      </c>
      <c r="D355" s="48">
        <f>D318+D321+D324+D328+D331+D341+D344+D347+D350+D354</f>
        <v>30734.57</v>
      </c>
      <c r="E355" s="48">
        <f>E318+E321+E324+E328+E331+E341+E344+E347+E350+E354</f>
        <v>55225</v>
      </c>
      <c r="F355" s="48">
        <f>F318+F321+F324+F328+F331+F341+F344+F347+F350+F354</f>
        <v>30034.93</v>
      </c>
      <c r="G355" s="48">
        <f>G318+G321+G324+G328+G331+G341+G344+G347+G350+G354</f>
        <v>48225</v>
      </c>
      <c r="H355" s="48">
        <f>H318+H321+H324+H328+H331+H341+H344+H347+H350+H354</f>
        <v>29019.119999999999</v>
      </c>
      <c r="I355" s="48">
        <f>I318+I321+I324+I328+I331+I341+I344+I347+I350+I354</f>
        <v>48225</v>
      </c>
    </row>
    <row r="357" spans="1:9" x14ac:dyDescent="0.25">
      <c r="A357" t="s">
        <v>189</v>
      </c>
      <c r="B357" s="31" t="s">
        <v>197</v>
      </c>
      <c r="C357" s="4">
        <v>35000</v>
      </c>
      <c r="D357" s="4">
        <v>25196.080000000002</v>
      </c>
      <c r="E357" s="4">
        <v>35000</v>
      </c>
      <c r="F357" s="16">
        <v>31035.43</v>
      </c>
      <c r="G357" s="4">
        <v>35000</v>
      </c>
      <c r="H357" s="4">
        <v>301.45</v>
      </c>
      <c r="I357" s="4">
        <v>35000</v>
      </c>
    </row>
    <row r="358" spans="1:9" x14ac:dyDescent="0.25">
      <c r="A358" t="s">
        <v>491</v>
      </c>
      <c r="B358" s="31" t="s">
        <v>198</v>
      </c>
      <c r="C358" s="4">
        <v>25000</v>
      </c>
      <c r="D358" s="4">
        <v>22124.06</v>
      </c>
      <c r="E358" s="4">
        <v>25000</v>
      </c>
      <c r="F358" s="16">
        <f>19602.66-582.47</f>
        <v>19020.189999999999</v>
      </c>
      <c r="G358" s="4">
        <v>25000</v>
      </c>
      <c r="H358" s="4">
        <f>10277.01-2137.26+544.47</f>
        <v>8684.2199999999993</v>
      </c>
      <c r="I358" s="4">
        <v>25000</v>
      </c>
    </row>
    <row r="359" spans="1:9" x14ac:dyDescent="0.25">
      <c r="A359" t="s">
        <v>492</v>
      </c>
      <c r="B359" t="s">
        <v>199</v>
      </c>
      <c r="C359" s="4">
        <v>7000</v>
      </c>
      <c r="D359" s="4">
        <v>6444.81</v>
      </c>
      <c r="E359" s="4">
        <v>7000</v>
      </c>
      <c r="F359" s="16">
        <v>6381.36</v>
      </c>
      <c r="G359" s="4">
        <v>6491.37</v>
      </c>
      <c r="H359" s="4">
        <v>0</v>
      </c>
      <c r="I359" s="4">
        <v>6491.37</v>
      </c>
    </row>
    <row r="360" spans="1:9" x14ac:dyDescent="0.25">
      <c r="A360" t="s">
        <v>493</v>
      </c>
      <c r="B360" t="s">
        <v>79</v>
      </c>
      <c r="C360" s="4">
        <v>5000</v>
      </c>
      <c r="D360" s="4">
        <v>0</v>
      </c>
      <c r="E360" s="4">
        <v>5000</v>
      </c>
      <c r="F360" s="16">
        <v>9461.9699999999993</v>
      </c>
      <c r="G360" s="4">
        <v>2000</v>
      </c>
      <c r="H360" s="4">
        <v>0</v>
      </c>
      <c r="I360" s="4">
        <v>2000</v>
      </c>
    </row>
    <row r="361" spans="1:9" x14ac:dyDescent="0.25">
      <c r="A361" t="s">
        <v>494</v>
      </c>
      <c r="B361" t="s">
        <v>200</v>
      </c>
      <c r="C361" s="4">
        <v>2000</v>
      </c>
      <c r="D361" s="4">
        <v>518.70000000000005</v>
      </c>
      <c r="E361" s="4">
        <v>2000</v>
      </c>
      <c r="F361" s="16">
        <v>490.6</v>
      </c>
      <c r="G361" s="4">
        <v>1000</v>
      </c>
      <c r="H361" s="4">
        <v>198.1</v>
      </c>
      <c r="I361" s="4">
        <v>1000</v>
      </c>
    </row>
    <row r="362" spans="1:9" x14ac:dyDescent="0.25">
      <c r="A362" t="s">
        <v>495</v>
      </c>
      <c r="B362" t="s">
        <v>201</v>
      </c>
      <c r="C362" s="4">
        <v>84500</v>
      </c>
      <c r="D362" s="4">
        <v>44669.66</v>
      </c>
      <c r="E362" s="4">
        <v>84500</v>
      </c>
      <c r="F362" s="16">
        <f>56775.17</f>
        <v>56775.17</v>
      </c>
      <c r="G362" s="4">
        <v>50000</v>
      </c>
      <c r="H362" s="4">
        <f>960.4+47156.34+8.25</f>
        <v>48124.99</v>
      </c>
      <c r="I362" s="4">
        <v>50000</v>
      </c>
    </row>
    <row r="363" spans="1:9" x14ac:dyDescent="0.25">
      <c r="A363" t="s">
        <v>496</v>
      </c>
      <c r="B363" t="s">
        <v>202</v>
      </c>
      <c r="C363" s="4">
        <v>4000</v>
      </c>
      <c r="D363" s="4">
        <v>2375</v>
      </c>
      <c r="E363" s="4">
        <v>4000</v>
      </c>
      <c r="F363" s="16">
        <v>2375</v>
      </c>
      <c r="G363" s="4">
        <v>3000</v>
      </c>
      <c r="H363" s="4">
        <v>0</v>
      </c>
      <c r="I363" s="4">
        <v>3000</v>
      </c>
    </row>
    <row r="364" spans="1:9" x14ac:dyDescent="0.25">
      <c r="A364"/>
      <c r="B364" s="11" t="s">
        <v>27</v>
      </c>
      <c r="C364" s="10">
        <f>SUM(C357:C363)</f>
        <v>162500</v>
      </c>
      <c r="D364" s="10">
        <f>SUM(D357:D363)</f>
        <v>101328.31</v>
      </c>
      <c r="E364" s="10">
        <f>SUM(E357:E363)</f>
        <v>162500</v>
      </c>
      <c r="F364" s="10">
        <f>SUM(F357:F363)</f>
        <v>125539.72</v>
      </c>
      <c r="G364" s="10">
        <f>SUM(G357:G363)</f>
        <v>122491.37</v>
      </c>
      <c r="H364" s="10">
        <f>SUM(H357:H363)</f>
        <v>57308.759999999995</v>
      </c>
      <c r="I364" s="10">
        <f>SUM(I357:I363)</f>
        <v>122491.37</v>
      </c>
    </row>
    <row r="366" spans="1:9" x14ac:dyDescent="0.25">
      <c r="A366" s="12" t="s">
        <v>498</v>
      </c>
      <c r="B366" t="s">
        <v>499</v>
      </c>
    </row>
    <row r="367" spans="1:9" x14ac:dyDescent="0.25">
      <c r="B367" t="s">
        <v>500</v>
      </c>
      <c r="C367" s="4">
        <v>20052.5</v>
      </c>
      <c r="D367" s="4">
        <v>20052.05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</row>
    <row r="368" spans="1:9" x14ac:dyDescent="0.25">
      <c r="B368" t="s">
        <v>501</v>
      </c>
      <c r="C368" s="4">
        <v>5228.75</v>
      </c>
      <c r="D368" s="4">
        <v>0</v>
      </c>
      <c r="E368" s="4">
        <v>5544.53</v>
      </c>
      <c r="F368" s="4">
        <v>0</v>
      </c>
      <c r="G368" s="4">
        <v>0</v>
      </c>
      <c r="H368" s="4">
        <v>0</v>
      </c>
      <c r="I368" s="4">
        <v>0</v>
      </c>
    </row>
    <row r="369" spans="1:10" x14ac:dyDescent="0.25">
      <c r="B369" s="11" t="s">
        <v>502</v>
      </c>
      <c r="C369" s="10">
        <f>SUM(C367:C368)</f>
        <v>25281.25</v>
      </c>
      <c r="D369" s="10">
        <f t="shared" ref="D369:I369" si="70">SUM(D367:D368)</f>
        <v>20052.05</v>
      </c>
      <c r="E369" s="10">
        <f t="shared" si="70"/>
        <v>5544.53</v>
      </c>
      <c r="F369" s="10">
        <f t="shared" si="70"/>
        <v>0</v>
      </c>
      <c r="G369" s="10">
        <f t="shared" si="70"/>
        <v>0</v>
      </c>
      <c r="H369" s="10">
        <f t="shared" si="70"/>
        <v>0</v>
      </c>
      <c r="I369" s="10">
        <f t="shared" si="70"/>
        <v>0</v>
      </c>
    </row>
    <row r="371" spans="1:10" ht="15.75" x14ac:dyDescent="0.25">
      <c r="A371" s="26" t="s">
        <v>30</v>
      </c>
      <c r="B371" s="26"/>
      <c r="C371" s="26"/>
      <c r="D371" s="26"/>
      <c r="E371" s="26"/>
      <c r="F371" s="26"/>
      <c r="G371" s="26"/>
      <c r="H371" s="26"/>
      <c r="I371" s="26"/>
      <c r="J371" s="26"/>
    </row>
    <row r="372" spans="1:10" ht="15.75" x14ac:dyDescent="0.25">
      <c r="A372" s="26" t="s">
        <v>109</v>
      </c>
      <c r="B372" s="26"/>
      <c r="C372" s="26"/>
      <c r="D372" s="26"/>
      <c r="E372" s="26"/>
      <c r="F372" s="26"/>
      <c r="G372" s="26"/>
      <c r="H372" s="26"/>
      <c r="I372" s="26"/>
      <c r="J372" s="26"/>
    </row>
    <row r="373" spans="1:10" ht="15.75" x14ac:dyDescent="0.25">
      <c r="A373" s="26" t="s">
        <v>32</v>
      </c>
      <c r="B373" s="26"/>
      <c r="C373" s="26"/>
      <c r="D373" s="26"/>
      <c r="E373" s="26"/>
      <c r="F373" s="26"/>
      <c r="G373" s="26"/>
      <c r="H373" s="26"/>
      <c r="I373" s="26"/>
      <c r="J373" s="26"/>
    </row>
    <row r="374" spans="1:10" x14ac:dyDescent="0.25">
      <c r="D374" s="5"/>
    </row>
    <row r="375" spans="1:10" x14ac:dyDescent="0.25">
      <c r="A375" s="23"/>
      <c r="B375" s="3"/>
      <c r="C375" s="25">
        <v>2022</v>
      </c>
      <c r="D375" s="25"/>
      <c r="E375" s="25">
        <v>2023</v>
      </c>
      <c r="F375" s="25"/>
      <c r="G375" s="25">
        <v>2024</v>
      </c>
      <c r="H375" s="25"/>
      <c r="I375" s="8">
        <v>2025</v>
      </c>
    </row>
    <row r="376" spans="1:10" x14ac:dyDescent="0.25">
      <c r="A376" s="24" t="s">
        <v>0</v>
      </c>
      <c r="B376" s="3" t="s">
        <v>1</v>
      </c>
      <c r="C376" s="6" t="s">
        <v>2</v>
      </c>
      <c r="D376" s="6" t="s">
        <v>3</v>
      </c>
      <c r="E376" s="6" t="s">
        <v>2</v>
      </c>
      <c r="F376" s="6" t="s">
        <v>3</v>
      </c>
      <c r="G376" s="6" t="s">
        <v>2</v>
      </c>
      <c r="H376" s="6" t="s">
        <v>4</v>
      </c>
      <c r="I376" s="6" t="s">
        <v>5</v>
      </c>
    </row>
    <row r="377" spans="1:10" x14ac:dyDescent="0.25">
      <c r="A377" s="12" t="s">
        <v>503</v>
      </c>
      <c r="B377" t="s">
        <v>504</v>
      </c>
    </row>
    <row r="378" spans="1:10" x14ac:dyDescent="0.25">
      <c r="B378" t="s">
        <v>500</v>
      </c>
      <c r="C378" s="4">
        <v>651.70000000000005</v>
      </c>
      <c r="D378" s="4">
        <v>651.70000000000005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</row>
    <row r="379" spans="1:10" x14ac:dyDescent="0.25">
      <c r="B379" t="s">
        <v>501</v>
      </c>
      <c r="C379" s="4">
        <v>650.63</v>
      </c>
      <c r="D379" s="4">
        <v>0</v>
      </c>
      <c r="E379" s="4">
        <v>334.85</v>
      </c>
      <c r="F379" s="4">
        <v>0</v>
      </c>
      <c r="G379" s="4">
        <v>0</v>
      </c>
      <c r="H379" s="4">
        <v>0</v>
      </c>
      <c r="I379" s="4">
        <v>0</v>
      </c>
    </row>
    <row r="380" spans="1:10" x14ac:dyDescent="0.25">
      <c r="B380" s="11" t="s">
        <v>505</v>
      </c>
      <c r="C380" s="10">
        <f>SUM(C378:C379)</f>
        <v>1302.33</v>
      </c>
      <c r="D380" s="10">
        <f t="shared" ref="D380:I380" si="71">SUM(D378:D379)</f>
        <v>651.70000000000005</v>
      </c>
      <c r="E380" s="10">
        <f t="shared" si="71"/>
        <v>334.85</v>
      </c>
      <c r="F380" s="10">
        <f t="shared" si="71"/>
        <v>0</v>
      </c>
      <c r="G380" s="10">
        <f t="shared" si="71"/>
        <v>0</v>
      </c>
      <c r="H380" s="10">
        <f t="shared" si="71"/>
        <v>0</v>
      </c>
      <c r="I380" s="10">
        <f t="shared" si="71"/>
        <v>0</v>
      </c>
    </row>
    <row r="381" spans="1:10" x14ac:dyDescent="0.25">
      <c r="B381" s="47" t="s">
        <v>506</v>
      </c>
      <c r="C381" s="48">
        <f>C369+C380</f>
        <v>26583.58</v>
      </c>
      <c r="D381" s="48">
        <f>D369+D380</f>
        <v>20703.75</v>
      </c>
      <c r="E381" s="48">
        <f>E369+E380</f>
        <v>5879.38</v>
      </c>
      <c r="F381" s="48">
        <f>F369+F380</f>
        <v>0</v>
      </c>
      <c r="G381" s="48">
        <f>G369+G380</f>
        <v>0</v>
      </c>
      <c r="H381" s="48">
        <f>H369+H380</f>
        <v>0</v>
      </c>
      <c r="I381" s="48">
        <f>I369+I380</f>
        <v>0</v>
      </c>
    </row>
    <row r="383" spans="1:10" x14ac:dyDescent="0.25">
      <c r="B383" s="47" t="s">
        <v>507</v>
      </c>
      <c r="C383" s="48">
        <f>C207+C214+C242+C259+C274+C315+C355+C364+C381</f>
        <v>903802.58</v>
      </c>
      <c r="D383" s="48">
        <f>D207+D214+D242+D259+D274+D315+D355+D364+D381</f>
        <v>782037.3899999999</v>
      </c>
      <c r="E383" s="48">
        <f>E207+E214+E242+E259+E274+E315+E355+E364+E381</f>
        <v>903498.38</v>
      </c>
      <c r="F383" s="48">
        <f>F207+F214+F242+F259+F274+F315+F355+F364+F381</f>
        <v>711897.24000000011</v>
      </c>
      <c r="G383" s="48">
        <f>G207+G214+G242+G259+G274+G315+G355+G364+G381</f>
        <v>904711.37</v>
      </c>
      <c r="H383" s="48">
        <f>H207+H214+H242+H259+H274+H315+H355+H364+H381</f>
        <v>721260.67</v>
      </c>
      <c r="I383" s="48">
        <f>I207+I214+I242+I259+I274+I315+I355+I364+I381</f>
        <v>904711.37</v>
      </c>
    </row>
  </sheetData>
  <mergeCells count="66">
    <mergeCell ref="A371:J371"/>
    <mergeCell ref="A372:J372"/>
    <mergeCell ref="A373:J373"/>
    <mergeCell ref="C375:D375"/>
    <mergeCell ref="E375:F375"/>
    <mergeCell ref="G375:H375"/>
    <mergeCell ref="A334:J334"/>
    <mergeCell ref="A335:J335"/>
    <mergeCell ref="A336:J336"/>
    <mergeCell ref="C338:D338"/>
    <mergeCell ref="E338:F338"/>
    <mergeCell ref="G338:H338"/>
    <mergeCell ref="A297:J297"/>
    <mergeCell ref="A298:J298"/>
    <mergeCell ref="A299:J299"/>
    <mergeCell ref="C301:D301"/>
    <mergeCell ref="E301:F301"/>
    <mergeCell ref="G301:H301"/>
    <mergeCell ref="A260:J260"/>
    <mergeCell ref="A261:J261"/>
    <mergeCell ref="A262:J262"/>
    <mergeCell ref="C264:D264"/>
    <mergeCell ref="E264:F264"/>
    <mergeCell ref="G264:H264"/>
    <mergeCell ref="A223:J223"/>
    <mergeCell ref="A224:J224"/>
    <mergeCell ref="A225:J225"/>
    <mergeCell ref="C227:D227"/>
    <mergeCell ref="E227:F227"/>
    <mergeCell ref="G227:H227"/>
    <mergeCell ref="A186:J186"/>
    <mergeCell ref="A187:J187"/>
    <mergeCell ref="A188:J188"/>
    <mergeCell ref="C190:D190"/>
    <mergeCell ref="E190:F190"/>
    <mergeCell ref="G190:H190"/>
    <mergeCell ref="A149:J149"/>
    <mergeCell ref="A150:J150"/>
    <mergeCell ref="A151:J151"/>
    <mergeCell ref="C153:D153"/>
    <mergeCell ref="E153:F153"/>
    <mergeCell ref="G153:H153"/>
    <mergeCell ref="A75:J75"/>
    <mergeCell ref="A76:J76"/>
    <mergeCell ref="A77:J77"/>
    <mergeCell ref="C79:D79"/>
    <mergeCell ref="E79:F79"/>
    <mergeCell ref="G79:H79"/>
    <mergeCell ref="A38:J38"/>
    <mergeCell ref="A39:J39"/>
    <mergeCell ref="A40:J40"/>
    <mergeCell ref="C42:D42"/>
    <mergeCell ref="E42:F42"/>
    <mergeCell ref="G42:H42"/>
    <mergeCell ref="A112:J112"/>
    <mergeCell ref="A113:J113"/>
    <mergeCell ref="A114:J114"/>
    <mergeCell ref="C116:D116"/>
    <mergeCell ref="E116:F116"/>
    <mergeCell ref="G116:H116"/>
    <mergeCell ref="A1:J1"/>
    <mergeCell ref="A2:J2"/>
    <mergeCell ref="A3:J3"/>
    <mergeCell ref="C5:D5"/>
    <mergeCell ref="E5:F5"/>
    <mergeCell ref="G5:H5"/>
  </mergeCells>
  <pageMargins left="0.7" right="0.7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Fire Department</vt:lpstr>
      <vt:lpstr>Sidewalk</vt:lpstr>
      <vt:lpstr>Garbage </vt:lpstr>
      <vt:lpstr>Lighting</vt:lpstr>
      <vt:lpstr>Water One</vt:lpstr>
      <vt:lpstr>Water Three</vt:lpstr>
      <vt:lpstr>Highway</vt:lpstr>
      <vt:lpstr>General Fund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Cathleen Reusser</dc:creator>
  <cp:lastModifiedBy>Cathleen Reusser</cp:lastModifiedBy>
  <cp:lastPrinted>2024-10-01T18:43:58Z</cp:lastPrinted>
  <dcterms:created xsi:type="dcterms:W3CDTF">2024-09-23T17:42:21Z</dcterms:created>
  <dcterms:modified xsi:type="dcterms:W3CDTF">2024-10-01T18:53:27Z</dcterms:modified>
</cp:coreProperties>
</file>